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0610" windowHeight="9975" firstSheet="2" activeTab="2"/>
  </bookViews>
  <sheets>
    <sheet name="исходя из роста 20%" sheetId="1" r:id="rId1"/>
    <sheet name="в соответствии с законом" sheetId="4" r:id="rId2"/>
    <sheet name="Расчёт тарифов" sheetId="15" r:id="rId3"/>
    <sheet name="Лист3" sheetId="7" r:id="rId4"/>
  </sheets>
  <calcPr calcId="125725"/>
</workbook>
</file>

<file path=xl/calcChain.xml><?xml version="1.0" encoding="utf-8"?>
<calcChain xmlns="http://schemas.openxmlformats.org/spreadsheetml/2006/main">
  <c r="S22" i="15"/>
  <c r="R22"/>
  <c r="R29" s="1"/>
  <c r="R58" s="1"/>
  <c r="F63"/>
  <c r="F61" s="1"/>
  <c r="G63"/>
  <c r="H63"/>
  <c r="I63"/>
  <c r="J61" s="1"/>
  <c r="J63"/>
  <c r="K63"/>
  <c r="L63"/>
  <c r="M63"/>
  <c r="N63"/>
  <c r="O63"/>
  <c r="P63"/>
  <c r="Q63"/>
  <c r="Q61" s="1"/>
  <c r="R63"/>
  <c r="S63"/>
  <c r="E63"/>
  <c r="S29"/>
  <c r="S58" s="1"/>
  <c r="S79"/>
  <c r="R79"/>
  <c r="Q79"/>
  <c r="P79"/>
  <c r="P61" s="1"/>
  <c r="O79"/>
  <c r="O61" s="1"/>
  <c r="N79"/>
  <c r="M79"/>
  <c r="L79"/>
  <c r="K79"/>
  <c r="J79"/>
  <c r="I79"/>
  <c r="I61" s="1"/>
  <c r="H79"/>
  <c r="G79"/>
  <c r="F79"/>
  <c r="E79"/>
  <c r="E61" s="1"/>
  <c r="D79"/>
  <c r="C79"/>
  <c r="T78"/>
  <c r="T77"/>
  <c r="T76"/>
  <c r="T75"/>
  <c r="T74"/>
  <c r="T73"/>
  <c r="T72"/>
  <c r="T71"/>
  <c r="T70"/>
  <c r="T69"/>
  <c r="G67"/>
  <c r="H67" s="1"/>
  <c r="T66"/>
  <c r="F65"/>
  <c r="T64"/>
  <c r="F62"/>
  <c r="E62"/>
  <c r="S61"/>
  <c r="R61"/>
  <c r="N61"/>
  <c r="L61"/>
  <c r="K61"/>
  <c r="H61"/>
  <c r="G61"/>
  <c r="D56"/>
  <c r="D49" s="1"/>
  <c r="C56"/>
  <c r="F52"/>
  <c r="G52" s="1"/>
  <c r="H52" s="1"/>
  <c r="I52" s="1"/>
  <c r="J52" s="1"/>
  <c r="K52" s="1"/>
  <c r="L52" s="1"/>
  <c r="M52" s="1"/>
  <c r="N52" s="1"/>
  <c r="O52" s="1"/>
  <c r="P52" s="1"/>
  <c r="Q52" s="1"/>
  <c r="E51"/>
  <c r="E54" s="1"/>
  <c r="F50"/>
  <c r="G50" s="1"/>
  <c r="H50" s="1"/>
  <c r="I50" s="1"/>
  <c r="J50" s="1"/>
  <c r="K50" s="1"/>
  <c r="L50" s="1"/>
  <c r="M50" s="1"/>
  <c r="N50" s="1"/>
  <c r="O50" s="1"/>
  <c r="P50" s="1"/>
  <c r="Q50" s="1"/>
  <c r="R50" s="1"/>
  <c r="S50" s="1"/>
  <c r="C50"/>
  <c r="F49"/>
  <c r="C49"/>
  <c r="C51" s="1"/>
  <c r="D46"/>
  <c r="S36"/>
  <c r="Q36"/>
  <c r="P36"/>
  <c r="P20" s="1"/>
  <c r="O36"/>
  <c r="O20" s="1"/>
  <c r="N36"/>
  <c r="M36"/>
  <c r="L36"/>
  <c r="L20" s="1"/>
  <c r="K36"/>
  <c r="K20" s="1"/>
  <c r="J36"/>
  <c r="I36"/>
  <c r="H36"/>
  <c r="H20" s="1"/>
  <c r="G36"/>
  <c r="G20" s="1"/>
  <c r="F36"/>
  <c r="E36"/>
  <c r="D36"/>
  <c r="C36"/>
  <c r="T35"/>
  <c r="T34"/>
  <c r="T33"/>
  <c r="T32"/>
  <c r="R31"/>
  <c r="R36" s="1"/>
  <c r="R20" s="1"/>
  <c r="F28"/>
  <c r="G28" s="1"/>
  <c r="T27"/>
  <c r="T25"/>
  <c r="T24"/>
  <c r="E21"/>
  <c r="S20"/>
  <c r="Q20"/>
  <c r="N20"/>
  <c r="M20"/>
  <c r="J20"/>
  <c r="I20"/>
  <c r="F20"/>
  <c r="E20"/>
  <c r="D18"/>
  <c r="D23" s="1"/>
  <c r="C18"/>
  <c r="E15"/>
  <c r="F14"/>
  <c r="G14" s="1"/>
  <c r="H14" s="1"/>
  <c r="I14" s="1"/>
  <c r="J14" s="1"/>
  <c r="K14" s="1"/>
  <c r="L14" s="1"/>
  <c r="M14" s="1"/>
  <c r="N14" s="1"/>
  <c r="O14" s="1"/>
  <c r="P14" s="1"/>
  <c r="Q14" s="1"/>
  <c r="E13"/>
  <c r="E17" s="1"/>
  <c r="D13"/>
  <c r="F12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F11"/>
  <c r="C11"/>
  <c r="C15" s="1"/>
  <c r="D8"/>
  <c r="M61" l="1"/>
  <c r="T61" s="1"/>
  <c r="F13"/>
  <c r="F17" s="1"/>
  <c r="T63"/>
  <c r="F51"/>
  <c r="T79"/>
  <c r="C57"/>
  <c r="D53"/>
  <c r="D57"/>
  <c r="F26"/>
  <c r="F21" s="1"/>
  <c r="G49"/>
  <c r="G51" s="1"/>
  <c r="G65"/>
  <c r="G62" s="1"/>
  <c r="F55"/>
  <c r="F54"/>
  <c r="R14"/>
  <c r="S14" s="1"/>
  <c r="G26"/>
  <c r="G21" s="1"/>
  <c r="H28"/>
  <c r="H26" s="1"/>
  <c r="H21" s="1"/>
  <c r="G54"/>
  <c r="G55"/>
  <c r="R52"/>
  <c r="S52" s="1"/>
  <c r="I67"/>
  <c r="H65"/>
  <c r="H62" s="1"/>
  <c r="I65"/>
  <c r="I62" s="1"/>
  <c r="T20"/>
  <c r="C13"/>
  <c r="C23" s="1"/>
  <c r="D15"/>
  <c r="E16"/>
  <c r="E18" s="1"/>
  <c r="T31"/>
  <c r="T36" s="1"/>
  <c r="D51"/>
  <c r="C53"/>
  <c r="E53"/>
  <c r="E55"/>
  <c r="E56" s="1"/>
  <c r="G11"/>
  <c r="F16" l="1"/>
  <c r="F18" s="1"/>
  <c r="H49"/>
  <c r="I49" s="1"/>
  <c r="F56"/>
  <c r="F48" s="1"/>
  <c r="F45" s="1"/>
  <c r="F46" s="1"/>
  <c r="E59"/>
  <c r="E57"/>
  <c r="E48"/>
  <c r="E45" s="1"/>
  <c r="E46" s="1"/>
  <c r="E80"/>
  <c r="F80" s="1"/>
  <c r="H51"/>
  <c r="E37"/>
  <c r="E23"/>
  <c r="E10"/>
  <c r="E7" s="1"/>
  <c r="E8" s="1"/>
  <c r="I28"/>
  <c r="I26" s="1"/>
  <c r="G56"/>
  <c r="G13"/>
  <c r="H11"/>
  <c r="J65"/>
  <c r="J67"/>
  <c r="F59"/>
  <c r="F57"/>
  <c r="J62" l="1"/>
  <c r="G17"/>
  <c r="G16"/>
  <c r="F23"/>
  <c r="F10"/>
  <c r="F7" s="1"/>
  <c r="F8" s="1"/>
  <c r="I21"/>
  <c r="H55"/>
  <c r="H54"/>
  <c r="K67"/>
  <c r="H13"/>
  <c r="I11"/>
  <c r="G59"/>
  <c r="G57"/>
  <c r="G48"/>
  <c r="G45" s="1"/>
  <c r="G46" s="1"/>
  <c r="J28"/>
  <c r="J26" s="1"/>
  <c r="J21" s="1"/>
  <c r="I51"/>
  <c r="J49"/>
  <c r="F37"/>
  <c r="G80"/>
  <c r="G18" l="1"/>
  <c r="G23" s="1"/>
  <c r="K49"/>
  <c r="J51"/>
  <c r="H16"/>
  <c r="H17"/>
  <c r="L65"/>
  <c r="L62" s="1"/>
  <c r="L67"/>
  <c r="I54"/>
  <c r="I55"/>
  <c r="K28"/>
  <c r="K26" s="1"/>
  <c r="K21" s="1"/>
  <c r="I13"/>
  <c r="J11"/>
  <c r="K65"/>
  <c r="H56"/>
  <c r="G37" l="1"/>
  <c r="G10"/>
  <c r="G7" s="1"/>
  <c r="G8" s="1"/>
  <c r="K62"/>
  <c r="J13"/>
  <c r="K11"/>
  <c r="J55"/>
  <c r="J54"/>
  <c r="I56"/>
  <c r="H59"/>
  <c r="H57"/>
  <c r="H48"/>
  <c r="H45" s="1"/>
  <c r="H46" s="1"/>
  <c r="I17"/>
  <c r="I16"/>
  <c r="L28"/>
  <c r="M67"/>
  <c r="K51"/>
  <c r="L49"/>
  <c r="H80"/>
  <c r="H18"/>
  <c r="J56" l="1"/>
  <c r="J57" s="1"/>
  <c r="I18"/>
  <c r="I23" s="1"/>
  <c r="I80"/>
  <c r="N67"/>
  <c r="N65" s="1"/>
  <c r="N62" s="1"/>
  <c r="I59"/>
  <c r="I57"/>
  <c r="I48"/>
  <c r="I45" s="1"/>
  <c r="I46" s="1"/>
  <c r="K13"/>
  <c r="L11"/>
  <c r="K54"/>
  <c r="K55"/>
  <c r="M28"/>
  <c r="M26" s="1"/>
  <c r="M21" s="1"/>
  <c r="H23"/>
  <c r="H10"/>
  <c r="H7" s="1"/>
  <c r="H8" s="1"/>
  <c r="H37"/>
  <c r="I37" s="1"/>
  <c r="M49"/>
  <c r="L51"/>
  <c r="J16"/>
  <c r="J17"/>
  <c r="M65"/>
  <c r="L26"/>
  <c r="J48"/>
  <c r="J45" s="1"/>
  <c r="I10" l="1"/>
  <c r="I7" s="1"/>
  <c r="I8" s="1"/>
  <c r="J46"/>
  <c r="M62"/>
  <c r="L55"/>
  <c r="L54"/>
  <c r="L13"/>
  <c r="M11"/>
  <c r="K56"/>
  <c r="L21"/>
  <c r="J22"/>
  <c r="J29" s="1"/>
  <c r="J58" s="1"/>
  <c r="M51"/>
  <c r="N49"/>
  <c r="N28"/>
  <c r="K17"/>
  <c r="K16"/>
  <c r="O67"/>
  <c r="O65" s="1"/>
  <c r="O62" s="1"/>
  <c r="J18"/>
  <c r="K22" l="1"/>
  <c r="K29" s="1"/>
  <c r="K58" s="1"/>
  <c r="K59" s="1"/>
  <c r="O28"/>
  <c r="O26" s="1"/>
  <c r="O21" s="1"/>
  <c r="M54"/>
  <c r="M55"/>
  <c r="K57"/>
  <c r="K48"/>
  <c r="K45" s="1"/>
  <c r="K46" s="1"/>
  <c r="M13"/>
  <c r="N11"/>
  <c r="J23"/>
  <c r="J10"/>
  <c r="J7" s="1"/>
  <c r="J8" s="1"/>
  <c r="P67"/>
  <c r="O49"/>
  <c r="N51"/>
  <c r="J59"/>
  <c r="J80"/>
  <c r="K80" s="1"/>
  <c r="L16"/>
  <c r="L17"/>
  <c r="K18"/>
  <c r="N26"/>
  <c r="N21" s="1"/>
  <c r="J37"/>
  <c r="K37" s="1"/>
  <c r="L56"/>
  <c r="L22" l="1"/>
  <c r="L29" s="1"/>
  <c r="L58" s="1"/>
  <c r="L80" s="1"/>
  <c r="N55"/>
  <c r="N54"/>
  <c r="Q67"/>
  <c r="N13"/>
  <c r="O11"/>
  <c r="L18"/>
  <c r="L59"/>
  <c r="L57"/>
  <c r="L48"/>
  <c r="L45" s="1"/>
  <c r="L46" s="1"/>
  <c r="K23"/>
  <c r="K10"/>
  <c r="K7" s="1"/>
  <c r="K8" s="1"/>
  <c r="O51"/>
  <c r="P49"/>
  <c r="M17"/>
  <c r="M16"/>
  <c r="M18" s="1"/>
  <c r="M23" s="1"/>
  <c r="P28"/>
  <c r="P65"/>
  <c r="P62" s="1"/>
  <c r="M56"/>
  <c r="L37" l="1"/>
  <c r="N56"/>
  <c r="N57" s="1"/>
  <c r="Q49"/>
  <c r="P51"/>
  <c r="N16"/>
  <c r="N17"/>
  <c r="N22" s="1"/>
  <c r="N29" s="1"/>
  <c r="N58" s="1"/>
  <c r="R67"/>
  <c r="Q28"/>
  <c r="Q26" s="1"/>
  <c r="Q21" s="1"/>
  <c r="M57"/>
  <c r="M48"/>
  <c r="M45" s="1"/>
  <c r="M46" s="1"/>
  <c r="M22"/>
  <c r="M29" s="1"/>
  <c r="M58" s="1"/>
  <c r="M80" s="1"/>
  <c r="O54"/>
  <c r="O55"/>
  <c r="L23"/>
  <c r="L10"/>
  <c r="L7" s="1"/>
  <c r="L8" s="1"/>
  <c r="O13"/>
  <c r="P11"/>
  <c r="P26"/>
  <c r="P21" s="1"/>
  <c r="M10"/>
  <c r="M7" s="1"/>
  <c r="M8" s="1"/>
  <c r="Q65"/>
  <c r="Q62" s="1"/>
  <c r="N48" l="1"/>
  <c r="N45" s="1"/>
  <c r="N46" s="1"/>
  <c r="M37"/>
  <c r="O17"/>
  <c r="O22" s="1"/>
  <c r="O29" s="1"/>
  <c r="O58" s="1"/>
  <c r="O16"/>
  <c r="S67"/>
  <c r="S65" s="1"/>
  <c r="N59"/>
  <c r="Q51"/>
  <c r="R49"/>
  <c r="N18"/>
  <c r="P13"/>
  <c r="Q11"/>
  <c r="R28"/>
  <c r="R26" s="1"/>
  <c r="R21" s="1"/>
  <c r="P55"/>
  <c r="P54"/>
  <c r="O56"/>
  <c r="M59"/>
  <c r="R65"/>
  <c r="R62" s="1"/>
  <c r="P56" l="1"/>
  <c r="P57" s="1"/>
  <c r="O57"/>
  <c r="O48"/>
  <c r="O45" s="1"/>
  <c r="O46" s="1"/>
  <c r="Q13"/>
  <c r="R11"/>
  <c r="N23"/>
  <c r="N10"/>
  <c r="N7" s="1"/>
  <c r="N8" s="1"/>
  <c r="Q54"/>
  <c r="Q55"/>
  <c r="S62"/>
  <c r="T62" s="1"/>
  <c r="T65"/>
  <c r="S28"/>
  <c r="S26" s="1"/>
  <c r="P16"/>
  <c r="P17"/>
  <c r="S49"/>
  <c r="S51" s="1"/>
  <c r="S55" s="1"/>
  <c r="R51"/>
  <c r="N37"/>
  <c r="O18"/>
  <c r="N80"/>
  <c r="O80" s="1"/>
  <c r="O37" l="1"/>
  <c r="P48"/>
  <c r="P45" s="1"/>
  <c r="P46" s="1"/>
  <c r="S21"/>
  <c r="T21" s="1"/>
  <c r="T26"/>
  <c r="R55"/>
  <c r="R54"/>
  <c r="P59"/>
  <c r="P22"/>
  <c r="P29" s="1"/>
  <c r="P58" s="1"/>
  <c r="R13"/>
  <c r="S11"/>
  <c r="S13" s="1"/>
  <c r="S17" s="1"/>
  <c r="P37"/>
  <c r="P18"/>
  <c r="O59"/>
  <c r="O23"/>
  <c r="O10"/>
  <c r="O7" s="1"/>
  <c r="O8" s="1"/>
  <c r="S54"/>
  <c r="Q17"/>
  <c r="Q22" s="1"/>
  <c r="Q29" s="1"/>
  <c r="Q58" s="1"/>
  <c r="Q16"/>
  <c r="Q18" s="1"/>
  <c r="Q23" s="1"/>
  <c r="P80"/>
  <c r="Q56"/>
  <c r="R16" l="1"/>
  <c r="R17"/>
  <c r="S56"/>
  <c r="Q59"/>
  <c r="Q57"/>
  <c r="Q48"/>
  <c r="Q45" s="1"/>
  <c r="Q46" s="1"/>
  <c r="T58"/>
  <c r="T29"/>
  <c r="T22"/>
  <c r="P23"/>
  <c r="P10"/>
  <c r="P7" s="1"/>
  <c r="P8" s="1"/>
  <c r="S16"/>
  <c r="Q10"/>
  <c r="Q7" s="1"/>
  <c r="R56"/>
  <c r="Q8" l="1"/>
  <c r="R59"/>
  <c r="R57"/>
  <c r="R48"/>
  <c r="R45" s="1"/>
  <c r="R46" s="1"/>
  <c r="S59"/>
  <c r="S57"/>
  <c r="T56"/>
  <c r="S48"/>
  <c r="S45" s="1"/>
  <c r="R18"/>
  <c r="S18"/>
  <c r="Q37"/>
  <c r="R37" s="1"/>
  <c r="Q80"/>
  <c r="R80" s="1"/>
  <c r="S80" s="1"/>
  <c r="S46" l="1"/>
  <c r="S23"/>
  <c r="T18"/>
  <c r="S10"/>
  <c r="S7" s="1"/>
  <c r="R23"/>
  <c r="R10"/>
  <c r="R7" s="1"/>
  <c r="R8" s="1"/>
  <c r="S37"/>
  <c r="T59"/>
  <c r="S8" l="1"/>
  <c r="E24" i="4" l="1"/>
  <c r="F24" s="1"/>
  <c r="G24" s="1"/>
  <c r="H24" s="1"/>
  <c r="I24" s="1"/>
  <c r="J24" s="1"/>
  <c r="K24" s="1"/>
  <c r="L24" s="1"/>
  <c r="M24" s="1"/>
  <c r="N24" s="1"/>
  <c r="O24" s="1"/>
  <c r="P24" s="1"/>
  <c r="Q24" s="1"/>
  <c r="D28"/>
  <c r="D23" s="1"/>
  <c r="C28"/>
  <c r="C23"/>
  <c r="C25" s="1"/>
  <c r="D20"/>
  <c r="D15"/>
  <c r="D16" s="1"/>
  <c r="C15"/>
  <c r="C16" s="1"/>
  <c r="D12"/>
  <c r="C12"/>
  <c r="E11"/>
  <c r="F11" s="1"/>
  <c r="G11" s="1"/>
  <c r="H11" s="1"/>
  <c r="I11" s="1"/>
  <c r="E10"/>
  <c r="E14" s="1"/>
  <c r="D7"/>
  <c r="E24" i="1"/>
  <c r="F24" s="1"/>
  <c r="G24" s="1"/>
  <c r="H24" s="1"/>
  <c r="I24" s="1"/>
  <c r="C12"/>
  <c r="C23"/>
  <c r="C25" s="1"/>
  <c r="D28"/>
  <c r="D23" s="1"/>
  <c r="E23" s="1"/>
  <c r="E27" s="1"/>
  <c r="C28"/>
  <c r="S25"/>
  <c r="R25"/>
  <c r="Q25"/>
  <c r="P25"/>
  <c r="O25"/>
  <c r="N25"/>
  <c r="M25"/>
  <c r="L25"/>
  <c r="K25"/>
  <c r="J25"/>
  <c r="D20"/>
  <c r="E19"/>
  <c r="F19" s="1"/>
  <c r="R12"/>
  <c r="K12"/>
  <c r="L12"/>
  <c r="M12"/>
  <c r="N12"/>
  <c r="O12"/>
  <c r="P12"/>
  <c r="Q12"/>
  <c r="S12"/>
  <c r="J12"/>
  <c r="E6"/>
  <c r="E9" s="1"/>
  <c r="E11"/>
  <c r="F11" s="1"/>
  <c r="G11" s="1"/>
  <c r="H11" s="1"/>
  <c r="I11" s="1"/>
  <c r="E10"/>
  <c r="E14" s="1"/>
  <c r="D12"/>
  <c r="D15"/>
  <c r="D16" s="1"/>
  <c r="C15"/>
  <c r="C16" s="1"/>
  <c r="D7"/>
  <c r="E13" l="1"/>
  <c r="C29"/>
  <c r="J24"/>
  <c r="K24" s="1"/>
  <c r="L24" s="1"/>
  <c r="M24" s="1"/>
  <c r="N24" s="1"/>
  <c r="O24" s="1"/>
  <c r="P24" s="1"/>
  <c r="Q24" s="1"/>
  <c r="R24" s="1"/>
  <c r="J11"/>
  <c r="K11" s="1"/>
  <c r="L11" s="1"/>
  <c r="M11" s="1"/>
  <c r="N11" s="1"/>
  <c r="O11" s="1"/>
  <c r="P11" s="1"/>
  <c r="Q11" s="1"/>
  <c r="S11" s="1"/>
  <c r="F6"/>
  <c r="G6" s="1"/>
  <c r="H6" s="1"/>
  <c r="I6" s="1"/>
  <c r="J6" s="1"/>
  <c r="J9" s="1"/>
  <c r="F10"/>
  <c r="D25"/>
  <c r="D29" i="4"/>
  <c r="C31"/>
  <c r="D25"/>
  <c r="C29"/>
  <c r="E13"/>
  <c r="E15" s="1"/>
  <c r="E9" s="1"/>
  <c r="E6" s="1"/>
  <c r="E7" s="1"/>
  <c r="D31"/>
  <c r="S24"/>
  <c r="R24"/>
  <c r="E23"/>
  <c r="F10"/>
  <c r="D29" i="1"/>
  <c r="F22"/>
  <c r="G19"/>
  <c r="S24"/>
  <c r="E22"/>
  <c r="E26" s="1"/>
  <c r="E28" s="1"/>
  <c r="F23"/>
  <c r="H9"/>
  <c r="G9"/>
  <c r="E15"/>
  <c r="E16" i="4" l="1"/>
  <c r="R11" i="1"/>
  <c r="E16"/>
  <c r="E31"/>
  <c r="F14"/>
  <c r="G10"/>
  <c r="I9"/>
  <c r="F9"/>
  <c r="F13" i="4"/>
  <c r="E26"/>
  <c r="E27"/>
  <c r="F23"/>
  <c r="F14"/>
  <c r="G10"/>
  <c r="G13" s="1"/>
  <c r="E29" i="1"/>
  <c r="G23"/>
  <c r="F27"/>
  <c r="F26" s="1"/>
  <c r="F28" s="1"/>
  <c r="H19"/>
  <c r="G22"/>
  <c r="K6"/>
  <c r="K9" s="1"/>
  <c r="F13" l="1"/>
  <c r="F15" s="1"/>
  <c r="E28" i="4"/>
  <c r="E22" s="1"/>
  <c r="E19" s="1"/>
  <c r="E20" s="1"/>
  <c r="H10" i="1"/>
  <c r="G14"/>
  <c r="F16"/>
  <c r="F31"/>
  <c r="G13"/>
  <c r="G15" s="1"/>
  <c r="F26" i="4"/>
  <c r="G14"/>
  <c r="H10"/>
  <c r="H13" s="1"/>
  <c r="F27"/>
  <c r="F28" s="1"/>
  <c r="F22" s="1"/>
  <c r="F19" s="1"/>
  <c r="G23"/>
  <c r="F29" i="1"/>
  <c r="H22"/>
  <c r="I19"/>
  <c r="G27"/>
  <c r="G26" s="1"/>
  <c r="G28" s="1"/>
  <c r="H23"/>
  <c r="L6"/>
  <c r="E29" i="4" l="1"/>
  <c r="F20"/>
  <c r="E31"/>
  <c r="G16" i="1"/>
  <c r="G31"/>
  <c r="I10"/>
  <c r="H14"/>
  <c r="H13" s="1"/>
  <c r="H15" s="1"/>
  <c r="G26" i="4"/>
  <c r="F29"/>
  <c r="G27"/>
  <c r="H23"/>
  <c r="H14"/>
  <c r="I10"/>
  <c r="I13" s="1"/>
  <c r="G29" i="1"/>
  <c r="J19"/>
  <c r="I22"/>
  <c r="I23"/>
  <c r="H27"/>
  <c r="H26" s="1"/>
  <c r="H28" s="1"/>
  <c r="H29" s="1"/>
  <c r="L9"/>
  <c r="M6"/>
  <c r="G28" i="4" l="1"/>
  <c r="G22" s="1"/>
  <c r="G19" s="1"/>
  <c r="G20" s="1"/>
  <c r="H16" i="1"/>
  <c r="H31"/>
  <c r="J10"/>
  <c r="I14"/>
  <c r="I13" s="1"/>
  <c r="I15" s="1"/>
  <c r="H26" i="4"/>
  <c r="I14"/>
  <c r="H27"/>
  <c r="I23"/>
  <c r="I27" i="1"/>
  <c r="J23"/>
  <c r="J22"/>
  <c r="K19"/>
  <c r="I26"/>
  <c r="I28" s="1"/>
  <c r="I29" s="1"/>
  <c r="M9"/>
  <c r="N6"/>
  <c r="H28" i="4" l="1"/>
  <c r="H29" s="1"/>
  <c r="G29"/>
  <c r="I16" i="1"/>
  <c r="I31"/>
  <c r="K10"/>
  <c r="J14"/>
  <c r="J13" s="1"/>
  <c r="J15" s="1"/>
  <c r="I26" i="4"/>
  <c r="I27"/>
  <c r="J23"/>
  <c r="L19" i="1"/>
  <c r="K22"/>
  <c r="K23"/>
  <c r="J27"/>
  <c r="J26" s="1"/>
  <c r="J28" s="1"/>
  <c r="J29" s="1"/>
  <c r="N9"/>
  <c r="O6"/>
  <c r="H22" i="4" l="1"/>
  <c r="H19" s="1"/>
  <c r="H20" s="1"/>
  <c r="I28"/>
  <c r="I29" s="1"/>
  <c r="J16" i="1"/>
  <c r="J31"/>
  <c r="L10"/>
  <c r="K14"/>
  <c r="K13" s="1"/>
  <c r="K15" s="1"/>
  <c r="J26" i="4"/>
  <c r="J27"/>
  <c r="K23"/>
  <c r="K27" i="1"/>
  <c r="K26" s="1"/>
  <c r="K28" s="1"/>
  <c r="K29" s="1"/>
  <c r="L23"/>
  <c r="L22"/>
  <c r="M19"/>
  <c r="O9"/>
  <c r="P6"/>
  <c r="I22" i="4" l="1"/>
  <c r="I19" s="1"/>
  <c r="I20" s="1"/>
  <c r="J28"/>
  <c r="J22" s="1"/>
  <c r="J19" s="1"/>
  <c r="K16" i="1"/>
  <c r="K31"/>
  <c r="M10"/>
  <c r="L14"/>
  <c r="L13" s="1"/>
  <c r="L15" s="1"/>
  <c r="K26" i="4"/>
  <c r="K27"/>
  <c r="L23"/>
  <c r="K28"/>
  <c r="K29" s="1"/>
  <c r="N19" i="1"/>
  <c r="M22"/>
  <c r="M23"/>
  <c r="L27"/>
  <c r="L26" s="1"/>
  <c r="L28" s="1"/>
  <c r="L29" s="1"/>
  <c r="P9"/>
  <c r="Q6"/>
  <c r="R6" s="1"/>
  <c r="J20" i="4" l="1"/>
  <c r="J29"/>
  <c r="K22"/>
  <c r="K19" s="1"/>
  <c r="K20" s="1"/>
  <c r="S6" i="1"/>
  <c r="S9" s="1"/>
  <c r="R9"/>
  <c r="L16"/>
  <c r="L31"/>
  <c r="N10"/>
  <c r="M14"/>
  <c r="M13" s="1"/>
  <c r="M15" s="1"/>
  <c r="L26" i="4"/>
  <c r="L27"/>
  <c r="M23"/>
  <c r="N22" i="1"/>
  <c r="O19"/>
  <c r="M27"/>
  <c r="M26" s="1"/>
  <c r="M28" s="1"/>
  <c r="M29" s="1"/>
  <c r="N23"/>
  <c r="Q9"/>
  <c r="M16" l="1"/>
  <c r="M31"/>
  <c r="O10"/>
  <c r="N14"/>
  <c r="N13" s="1"/>
  <c r="N15" s="1"/>
  <c r="L28" i="4"/>
  <c r="L29" s="1"/>
  <c r="M26"/>
  <c r="M27"/>
  <c r="N23"/>
  <c r="O23" i="1"/>
  <c r="N27"/>
  <c r="N26" s="1"/>
  <c r="N28" s="1"/>
  <c r="N29" s="1"/>
  <c r="P19"/>
  <c r="O22"/>
  <c r="L22" i="4" l="1"/>
  <c r="L19" s="1"/>
  <c r="L20" s="1"/>
  <c r="M28"/>
  <c r="M29" s="1"/>
  <c r="N16" i="1"/>
  <c r="N31"/>
  <c r="P10"/>
  <c r="O14"/>
  <c r="O13" s="1"/>
  <c r="O15" s="1"/>
  <c r="N26" i="4"/>
  <c r="N28" s="1"/>
  <c r="N29" s="1"/>
  <c r="N27"/>
  <c r="O23"/>
  <c r="O27" i="1"/>
  <c r="P23"/>
  <c r="P22"/>
  <c r="Q19"/>
  <c r="O26"/>
  <c r="O28" s="1"/>
  <c r="O29" s="1"/>
  <c r="M22" i="4" l="1"/>
  <c r="M19" s="1"/>
  <c r="M20" s="1"/>
  <c r="O16" i="1"/>
  <c r="O31"/>
  <c r="Q10"/>
  <c r="P14"/>
  <c r="P13" s="1"/>
  <c r="P15" s="1"/>
  <c r="O26" i="4"/>
  <c r="N22"/>
  <c r="N19" s="1"/>
  <c r="O27"/>
  <c r="P23"/>
  <c r="R19" i="1"/>
  <c r="Q22"/>
  <c r="Q23"/>
  <c r="P27"/>
  <c r="P26" s="1"/>
  <c r="P28" s="1"/>
  <c r="P29" s="1"/>
  <c r="O28" i="4" l="1"/>
  <c r="O29" s="1"/>
  <c r="N20"/>
  <c r="P16" i="1"/>
  <c r="P31"/>
  <c r="Q14"/>
  <c r="Q13" s="1"/>
  <c r="Q15" s="1"/>
  <c r="R10"/>
  <c r="P26" i="4"/>
  <c r="P27"/>
  <c r="Q23"/>
  <c r="R22" i="1"/>
  <c r="S19"/>
  <c r="S22" s="1"/>
  <c r="Q27"/>
  <c r="Q26" s="1"/>
  <c r="Q28" s="1"/>
  <c r="Q29" s="1"/>
  <c r="R23"/>
  <c r="O22" i="4" l="1"/>
  <c r="O19" s="1"/>
  <c r="O20" s="1"/>
  <c r="P28"/>
  <c r="P29" s="1"/>
  <c r="S10" i="1"/>
  <c r="R14"/>
  <c r="R13" s="1"/>
  <c r="R15" s="1"/>
  <c r="Q16"/>
  <c r="Q31"/>
  <c r="Q26" i="4"/>
  <c r="Q27"/>
  <c r="R23"/>
  <c r="S23" i="1"/>
  <c r="S27" s="1"/>
  <c r="R27"/>
  <c r="R26" s="1"/>
  <c r="R28" s="1"/>
  <c r="R29" s="1"/>
  <c r="P22" i="4" l="1"/>
  <c r="P19" s="1"/>
  <c r="P20" s="1"/>
  <c r="S26" i="1"/>
  <c r="S28" s="1"/>
  <c r="T28" s="1"/>
  <c r="Q28" i="4"/>
  <c r="Q29" s="1"/>
  <c r="R31" i="1"/>
  <c r="R16"/>
  <c r="S14"/>
  <c r="S13" s="1"/>
  <c r="S15" s="1"/>
  <c r="Q22" i="4"/>
  <c r="Q19" s="1"/>
  <c r="Q20" s="1"/>
  <c r="R26"/>
  <c r="R27"/>
  <c r="R28" s="1"/>
  <c r="R29" s="1"/>
  <c r="S23"/>
  <c r="S29" i="1" l="1"/>
  <c r="S16"/>
  <c r="S31"/>
  <c r="T31" s="1"/>
  <c r="T15"/>
  <c r="S27" i="4"/>
  <c r="S26"/>
  <c r="S28" s="1"/>
  <c r="S22" s="1"/>
  <c r="S19" s="1"/>
  <c r="S20" s="1"/>
  <c r="R22"/>
  <c r="R19" s="1"/>
  <c r="R20" s="1"/>
  <c r="S29" l="1"/>
  <c r="T28"/>
  <c r="G15"/>
  <c r="G16" s="1"/>
  <c r="H15"/>
  <c r="H31" s="1"/>
  <c r="F15"/>
  <c r="I15"/>
  <c r="I16" s="1"/>
  <c r="F16" l="1"/>
  <c r="F9"/>
  <c r="F6" s="1"/>
  <c r="F7" s="1"/>
  <c r="H16"/>
  <c r="I31"/>
  <c r="G31"/>
  <c r="I9"/>
  <c r="I6" s="1"/>
  <c r="H9"/>
  <c r="H6" s="1"/>
  <c r="G9"/>
  <c r="G6" s="1"/>
  <c r="F31"/>
  <c r="J11"/>
  <c r="K11" s="1"/>
  <c r="L11" s="1"/>
  <c r="M11" s="1"/>
  <c r="N11" s="1"/>
  <c r="O11" s="1"/>
  <c r="P11" s="1"/>
  <c r="Q11" s="1"/>
  <c r="G7" l="1"/>
  <c r="I7"/>
  <c r="H7"/>
  <c r="S11"/>
  <c r="R11"/>
  <c r="J10"/>
  <c r="J14" l="1"/>
  <c r="K10"/>
  <c r="J13"/>
  <c r="J15" l="1"/>
  <c r="J9" s="1"/>
  <c r="J6" s="1"/>
  <c r="J7" s="1"/>
  <c r="K14"/>
  <c r="K13"/>
  <c r="L10"/>
  <c r="J16" l="1"/>
  <c r="J31"/>
  <c r="L14"/>
  <c r="M10"/>
  <c r="L13"/>
  <c r="L15" s="1"/>
  <c r="K15"/>
  <c r="L31" l="1"/>
  <c r="L16"/>
  <c r="M14"/>
  <c r="N10"/>
  <c r="M13"/>
  <c r="K16"/>
  <c r="K31"/>
  <c r="K9"/>
  <c r="K6" s="1"/>
  <c r="K7" s="1"/>
  <c r="L9"/>
  <c r="L6" s="1"/>
  <c r="L7" l="1"/>
  <c r="N14"/>
  <c r="N13"/>
  <c r="O10"/>
  <c r="M15"/>
  <c r="N15" l="1"/>
  <c r="N9" s="1"/>
  <c r="N6" s="1"/>
  <c r="O13"/>
  <c r="O14"/>
  <c r="P10"/>
  <c r="M16"/>
  <c r="M31"/>
  <c r="M9"/>
  <c r="M6" s="1"/>
  <c r="M7" s="1"/>
  <c r="N7" l="1"/>
  <c r="N16"/>
  <c r="N31"/>
  <c r="O15"/>
  <c r="O9" s="1"/>
  <c r="O6" s="1"/>
  <c r="O7" s="1"/>
  <c r="Q10"/>
  <c r="P14"/>
  <c r="P13"/>
  <c r="O31" l="1"/>
  <c r="P15"/>
  <c r="P9" s="1"/>
  <c r="P6" s="1"/>
  <c r="P7" s="1"/>
  <c r="O16"/>
  <c r="Q14"/>
  <c r="R10"/>
  <c r="Q13"/>
  <c r="Q15" s="1"/>
  <c r="Q9" s="1"/>
  <c r="Q6" s="1"/>
  <c r="Q7" s="1"/>
  <c r="P16" l="1"/>
  <c r="P31"/>
  <c r="R13"/>
  <c r="S10"/>
  <c r="R14"/>
  <c r="Q16"/>
  <c r="Q31"/>
  <c r="S14" l="1"/>
  <c r="S13"/>
  <c r="R15"/>
  <c r="S15" l="1"/>
  <c r="S16" s="1"/>
  <c r="R16"/>
  <c r="R31"/>
  <c r="R9"/>
  <c r="R6" s="1"/>
  <c r="R7" s="1"/>
  <c r="S9" l="1"/>
  <c r="S6" s="1"/>
  <c r="S7" s="1"/>
  <c r="T15"/>
  <c r="S31"/>
  <c r="T31" s="1"/>
</calcChain>
</file>

<file path=xl/sharedStrings.xml><?xml version="1.0" encoding="utf-8"?>
<sst xmlns="http://schemas.openxmlformats.org/spreadsheetml/2006/main" count="249" uniqueCount="81">
  <si>
    <t>Ед.изм.</t>
  </si>
  <si>
    <t>руб./м3</t>
  </si>
  <si>
    <t>с 01.07.14</t>
  </si>
  <si>
    <t>Полезный отпуск</t>
  </si>
  <si>
    <t>тыс.м3</t>
  </si>
  <si>
    <t>%</t>
  </si>
  <si>
    <t>Прибыль на капвложения</t>
  </si>
  <si>
    <t>тыс.руб.</t>
  </si>
  <si>
    <t>НВВ</t>
  </si>
  <si>
    <t>Соцрасходы</t>
  </si>
  <si>
    <t>Расходы, включаемые в НВВ</t>
  </si>
  <si>
    <t>в % от расходов</t>
  </si>
  <si>
    <t>Предппринимательская прибыль</t>
  </si>
  <si>
    <t>Итого прибыль на капвложения</t>
  </si>
  <si>
    <t>Индекс роста</t>
  </si>
  <si>
    <t>Индекс роста операционных расходов</t>
  </si>
  <si>
    <t>ВОДОСНАБЖЕНИЕ</t>
  </si>
  <si>
    <t>Тариф на воду</t>
  </si>
  <si>
    <t>ВСЕГО за 15 лет (2016-2030)</t>
  </si>
  <si>
    <t>ВОДООТВЕДЕНИЕ</t>
  </si>
  <si>
    <t>Тариф на стоки</t>
  </si>
  <si>
    <t>Соцрасходы и прочие расходы из прибыли</t>
  </si>
  <si>
    <t>Прибыль на капвложения ВСЕГО</t>
  </si>
  <si>
    <t>прибыль на капвложения в % от расходов</t>
  </si>
  <si>
    <t>Показатели</t>
  </si>
  <si>
    <t>Прибыль на капвложения ВСЕГО по МВК</t>
  </si>
  <si>
    <t>Прогноз динамики роста тарифов на услуги ОАО "Миассводоканал" и прибыли на капвложения. ( ВАРИАНТ 12% от РАСХОДОВ)</t>
  </si>
  <si>
    <t>Прогноз динамики роста тарифов на услуги ОАО "Миассводоканал" и прибыли на капвложения. (ВАРИАНТ 20:20:20:18:18)</t>
  </si>
  <si>
    <t>Итого расходы, включаемые в НВВ</t>
  </si>
  <si>
    <t>Капитальные вложения</t>
  </si>
  <si>
    <t>Итого капитальные вложения</t>
  </si>
  <si>
    <t>Итого сальдо денежного потока</t>
  </si>
  <si>
    <t>Поступление кредитных средств</t>
  </si>
  <si>
    <t>Выплата процентов</t>
  </si>
  <si>
    <t>Выплата основного долга</t>
  </si>
  <si>
    <t>Остаток по кредиту</t>
  </si>
  <si>
    <t>Предпринимательская прибыль от водоснабжения</t>
  </si>
  <si>
    <t>Расчёт финансовых потребностей на реализацию мероприятий инвестиционной программы ОАО "Миассводоканал"" и предварительный расчёт тарифов  на период реализации инвестиционной программы</t>
  </si>
  <si>
    <t>Тариф на воду (прогноз)</t>
  </si>
  <si>
    <t>Индекс роста (прогноз)</t>
  </si>
  <si>
    <t>Полезный отпуск (прогноз)</t>
  </si>
  <si>
    <t>Расходы, включаемые в НВВ (без учёта налога на прибыль), прогноз</t>
  </si>
  <si>
    <t>Налог на прибыль (расчёт)</t>
  </si>
  <si>
    <t>Соцрасходы (прогноз)</t>
  </si>
  <si>
    <t>Индекс роста операционных расходов (прогноз)</t>
  </si>
  <si>
    <t>Прибыль на капвложения (прогноз)</t>
  </si>
  <si>
    <t>с 01.07.14 (факт)</t>
  </si>
  <si>
    <t>с 01.07.15 (факт)</t>
  </si>
  <si>
    <t>Итого прибыль на капвложения (прогноз)</t>
  </si>
  <si>
    <t>в том числе:</t>
  </si>
  <si>
    <t>на выплату основного долга и % по кредиту</t>
  </si>
  <si>
    <t>Предпринимательская прибыль, направленная на выполнение мероприятий по водоотведению</t>
  </si>
  <si>
    <t>Тариф на водоотведение (прогноз)</t>
  </si>
  <si>
    <t>Итого прибыль, направленная на инвестиции</t>
  </si>
  <si>
    <t>Предпринимательская прибыль</t>
  </si>
  <si>
    <t>Нормативная прибыль и предпринимат.прибыль в % от расходов</t>
  </si>
  <si>
    <t>Амортизационные отчисления, направленные на реализацию мероприятий ИП</t>
  </si>
  <si>
    <t>Предпринимательская прибыль (прогноз)</t>
  </si>
  <si>
    <t>ВСЕГО за 15 лет</t>
  </si>
  <si>
    <t xml:space="preserve">на реализацию мероприятий ИП </t>
  </si>
  <si>
    <t>Форма  №7-ИП</t>
  </si>
  <si>
    <t>Итого расходы, включаемые в необходимую валовую выручку (НВВ)</t>
  </si>
  <si>
    <t>на реализацию мероприятий  по водоснабжению</t>
  </si>
  <si>
    <t>на реализацию мероприятий  по водоотведению</t>
  </si>
  <si>
    <t>Амортизационные отчисления, направленные на реализацию мероприятий инвестпрограммы</t>
  </si>
  <si>
    <t>Реконструкция НФС  (форма 3-ИП, п.1.1.1)</t>
  </si>
  <si>
    <t>Реконструкция водопроводной насосной станции №4 по ул.Победы, вкл.резервуары по ул.Солнечной в Цетральной части г.Миасса (форма 3-ИП, п.2.1.1.)</t>
  </si>
  <si>
    <t>Реконструкция ВНС 5,6 (форма 3-ИП, п.2.1.2)</t>
  </si>
  <si>
    <t>Реконструкция Атлянского водозабора (форма 3-ИП, п.3.1.1)</t>
  </si>
  <si>
    <t>Техническое перевооружение системы обеззараживания воды Кысы-Кульского водозабора (форма 3-ИП, п.3.1.2)</t>
  </si>
  <si>
    <t>Необходимая валовая выручка (НВВ), прогноз</t>
  </si>
  <si>
    <t>Строительство  напорной части коллектора в Южной части г.Миасс (форма 3-ИП, п.1.1.1)</t>
  </si>
  <si>
    <t>Наружные сети водоотведения. Напорно-самотечный коллектор бытовых сточных вод с КНС (р-н Первомайка) (форма 3-ИП, п.1.1.2)</t>
  </si>
  <si>
    <t>Строительство КНС №6, расположенной в Южной части г.Миасса (форма 3-ИП, п.1.2.1)</t>
  </si>
  <si>
    <t>Строительство КНС №8, расположенной в Южной части г.Миасса (форма 3-ИП, п.1.2.2)</t>
  </si>
  <si>
    <t>Строительство КНС №15, расположенной в пос.Первомайский г.Миасса (форма 3-ИП, п.1.2.3)</t>
  </si>
  <si>
    <t>Реконструкция и модернизация КНС - 1,2,16,17 в разных частях г.Миасса (форма 3-ИП, п.2.1.1)</t>
  </si>
  <si>
    <t>Строительство блочно-модульных КНС-9,10,13 в разных частях г.Миасса (форма 3-ИП, п.2.1.2)</t>
  </si>
  <si>
    <t>Техническое перевооружение станции обеззараживания стоков очистных сооружений водоотведения пос.Селянкино (форма 3-ИП, п.3.1.1)</t>
  </si>
  <si>
    <t>Модернизация блока доочистки стоков (форма 3-ИП, п.3.1.2)</t>
  </si>
  <si>
    <t>Реконструкция очистных сооружений водоотведения в г.Миассе (форма 3-ИП, п.3.1.3)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</si>
</sst>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6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wrapText="1"/>
    </xf>
    <xf numFmtId="164" fontId="0" fillId="0" borderId="1" xfId="0" applyNumberFormat="1" applyBorder="1" applyAlignment="1">
      <alignment horizontal="center" wrapText="1"/>
    </xf>
    <xf numFmtId="164" fontId="0" fillId="0" borderId="0" xfId="0" applyNumberFormat="1"/>
    <xf numFmtId="164" fontId="2" fillId="0" borderId="1" xfId="0" applyNumberFormat="1" applyFont="1" applyBorder="1" applyAlignment="1">
      <alignment horizontal="center" wrapText="1"/>
    </xf>
    <xf numFmtId="165" fontId="0" fillId="0" borderId="1" xfId="0" applyNumberFormat="1" applyBorder="1" applyAlignment="1">
      <alignment wrapText="1"/>
    </xf>
    <xf numFmtId="165" fontId="0" fillId="0" borderId="1" xfId="0" applyNumberFormat="1" applyBorder="1" applyAlignment="1">
      <alignment horizontal="center" wrapText="1"/>
    </xf>
    <xf numFmtId="165" fontId="0" fillId="0" borderId="0" xfId="0" applyNumberFormat="1"/>
    <xf numFmtId="164" fontId="0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horizontal="center" wrapText="1"/>
    </xf>
    <xf numFmtId="165" fontId="2" fillId="0" borderId="0" xfId="0" applyNumberFormat="1" applyFont="1"/>
    <xf numFmtId="9" fontId="2" fillId="0" borderId="1" xfId="0" applyNumberFormat="1" applyFont="1" applyBorder="1" applyAlignment="1">
      <alignment wrapText="1"/>
    </xf>
    <xf numFmtId="9" fontId="2" fillId="0" borderId="1" xfId="0" applyNumberFormat="1" applyFont="1" applyBorder="1" applyAlignment="1">
      <alignment horizontal="center" wrapText="1"/>
    </xf>
    <xf numFmtId="9" fontId="2" fillId="0" borderId="0" xfId="0" applyNumberFormat="1" applyFont="1"/>
    <xf numFmtId="0" fontId="2" fillId="0" borderId="1" xfId="0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0" fontId="0" fillId="0" borderId="1" xfId="0" applyBorder="1"/>
    <xf numFmtId="164" fontId="0" fillId="0" borderId="1" xfId="0" applyNumberFormat="1" applyBorder="1"/>
    <xf numFmtId="165" fontId="0" fillId="0" borderId="1" xfId="0" applyNumberFormat="1" applyBorder="1"/>
    <xf numFmtId="9" fontId="2" fillId="0" borderId="1" xfId="0" applyNumberFormat="1" applyFont="1" applyBorder="1"/>
    <xf numFmtId="165" fontId="2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wrapText="1"/>
    </xf>
    <xf numFmtId="165" fontId="2" fillId="2" borderId="1" xfId="0" applyNumberFormat="1" applyFont="1" applyFill="1" applyBorder="1" applyAlignment="1">
      <alignment wrapText="1"/>
    </xf>
    <xf numFmtId="9" fontId="3" fillId="0" borderId="1" xfId="0" applyNumberFormat="1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center" wrapText="1"/>
    </xf>
    <xf numFmtId="9" fontId="0" fillId="0" borderId="1" xfId="0" applyNumberFormat="1" applyFont="1" applyBorder="1" applyAlignment="1">
      <alignment wrapText="1"/>
    </xf>
    <xf numFmtId="165" fontId="0" fillId="0" borderId="1" xfId="0" applyNumberFormat="1" applyFont="1" applyBorder="1" applyAlignment="1">
      <alignment horizontal="center" wrapText="1"/>
    </xf>
    <xf numFmtId="165" fontId="0" fillId="2" borderId="1" xfId="0" applyNumberFormat="1" applyFont="1" applyFill="1" applyBorder="1" applyAlignment="1">
      <alignment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wrapText="1"/>
    </xf>
    <xf numFmtId="0" fontId="2" fillId="0" borderId="0" xfId="0" applyFont="1"/>
    <xf numFmtId="165" fontId="5" fillId="0" borderId="0" xfId="0" applyNumberFormat="1" applyFont="1"/>
    <xf numFmtId="0" fontId="6" fillId="0" borderId="0" xfId="0" applyFont="1"/>
    <xf numFmtId="0" fontId="9" fillId="0" borderId="7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center" wrapText="1"/>
    </xf>
    <xf numFmtId="0" fontId="7" fillId="0" borderId="6" xfId="0" applyFont="1" applyBorder="1"/>
    <xf numFmtId="164" fontId="7" fillId="0" borderId="5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 wrapText="1"/>
    </xf>
    <xf numFmtId="164" fontId="7" fillId="0" borderId="6" xfId="0" applyNumberFormat="1" applyFont="1" applyBorder="1"/>
    <xf numFmtId="0" fontId="9" fillId="0" borderId="5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2" fontId="9" fillId="0" borderId="1" xfId="0" applyNumberFormat="1" applyFont="1" applyBorder="1" applyAlignment="1">
      <alignment horizontal="center" wrapText="1"/>
    </xf>
    <xf numFmtId="0" fontId="9" fillId="0" borderId="6" xfId="0" applyFont="1" applyBorder="1"/>
    <xf numFmtId="165" fontId="7" fillId="0" borderId="5" xfId="0" applyNumberFormat="1" applyFont="1" applyBorder="1" applyAlignment="1">
      <alignment wrapText="1"/>
    </xf>
    <xf numFmtId="165" fontId="7" fillId="0" borderId="1" xfId="0" applyNumberFormat="1" applyFont="1" applyBorder="1" applyAlignment="1">
      <alignment wrapText="1"/>
    </xf>
    <xf numFmtId="165" fontId="7" fillId="0" borderId="1" xfId="0" applyNumberFormat="1" applyFont="1" applyBorder="1" applyAlignment="1">
      <alignment horizontal="center" wrapText="1"/>
    </xf>
    <xf numFmtId="165" fontId="11" fillId="0" borderId="1" xfId="0" applyNumberFormat="1" applyFont="1" applyBorder="1" applyAlignment="1">
      <alignment horizontal="center" wrapText="1"/>
    </xf>
    <xf numFmtId="165" fontId="7" fillId="0" borderId="6" xfId="0" applyNumberFormat="1" applyFont="1" applyBorder="1"/>
    <xf numFmtId="165" fontId="9" fillId="0" borderId="5" xfId="0" applyNumberFormat="1" applyFont="1" applyBorder="1" applyAlignment="1">
      <alignment wrapText="1"/>
    </xf>
    <xf numFmtId="165" fontId="9" fillId="0" borderId="1" xfId="0" applyNumberFormat="1" applyFont="1" applyBorder="1" applyAlignment="1">
      <alignment wrapText="1"/>
    </xf>
    <xf numFmtId="165" fontId="9" fillId="2" borderId="1" xfId="0" applyNumberFormat="1" applyFont="1" applyFill="1" applyBorder="1" applyAlignment="1">
      <alignment horizontal="center" wrapText="1"/>
    </xf>
    <xf numFmtId="165" fontId="9" fillId="2" borderId="6" xfId="0" applyNumberFormat="1" applyFont="1" applyFill="1" applyBorder="1"/>
    <xf numFmtId="165" fontId="12" fillId="0" borderId="5" xfId="0" applyNumberFormat="1" applyFont="1" applyBorder="1" applyAlignment="1">
      <alignment wrapText="1"/>
    </xf>
    <xf numFmtId="165" fontId="12" fillId="0" borderId="1" xfId="0" applyNumberFormat="1" applyFont="1" applyBorder="1" applyAlignment="1">
      <alignment wrapText="1"/>
    </xf>
    <xf numFmtId="165" fontId="12" fillId="0" borderId="1" xfId="0" applyNumberFormat="1" applyFont="1" applyBorder="1" applyAlignment="1">
      <alignment horizontal="center" wrapText="1"/>
    </xf>
    <xf numFmtId="165" fontId="12" fillId="2" borderId="1" xfId="0" applyNumberFormat="1" applyFont="1" applyFill="1" applyBorder="1" applyAlignment="1">
      <alignment horizontal="center" wrapText="1"/>
    </xf>
    <xf numFmtId="165" fontId="12" fillId="2" borderId="6" xfId="0" applyNumberFormat="1" applyFont="1" applyFill="1" applyBorder="1"/>
    <xf numFmtId="9" fontId="7" fillId="0" borderId="5" xfId="0" applyNumberFormat="1" applyFont="1" applyBorder="1" applyAlignment="1">
      <alignment wrapText="1"/>
    </xf>
    <xf numFmtId="9" fontId="9" fillId="0" borderId="1" xfId="0" applyNumberFormat="1" applyFont="1" applyBorder="1" applyAlignment="1">
      <alignment wrapText="1"/>
    </xf>
    <xf numFmtId="9" fontId="9" fillId="0" borderId="1" xfId="0" applyNumberFormat="1" applyFont="1" applyBorder="1" applyAlignment="1">
      <alignment horizontal="center" wrapText="1"/>
    </xf>
    <xf numFmtId="9" fontId="10" fillId="0" borderId="1" xfId="0" applyNumberFormat="1" applyFont="1" applyBorder="1" applyAlignment="1">
      <alignment horizontal="center" wrapText="1"/>
    </xf>
    <xf numFmtId="9" fontId="9" fillId="0" borderId="6" xfId="0" applyNumberFormat="1" applyFont="1" applyBorder="1"/>
    <xf numFmtId="165" fontId="13" fillId="0" borderId="5" xfId="0" applyNumberFormat="1" applyFont="1" applyBorder="1" applyAlignment="1">
      <alignment wrapText="1"/>
    </xf>
    <xf numFmtId="165" fontId="13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>
      <alignment horizontal="center" wrapText="1"/>
    </xf>
    <xf numFmtId="165" fontId="13" fillId="0" borderId="6" xfId="0" applyNumberFormat="1" applyFont="1" applyBorder="1"/>
    <xf numFmtId="9" fontId="9" fillId="0" borderId="5" xfId="0" applyNumberFormat="1" applyFont="1" applyBorder="1" applyAlignment="1">
      <alignment wrapText="1"/>
    </xf>
    <xf numFmtId="2" fontId="13" fillId="0" borderId="1" xfId="0" applyNumberFormat="1" applyFont="1" applyBorder="1" applyAlignment="1">
      <alignment horizontal="center" wrapText="1"/>
    </xf>
    <xf numFmtId="2" fontId="9" fillId="0" borderId="6" xfId="0" applyNumberFormat="1" applyFont="1" applyBorder="1"/>
    <xf numFmtId="2" fontId="9" fillId="4" borderId="1" xfId="0" applyNumberFormat="1" applyFont="1" applyFill="1" applyBorder="1" applyAlignment="1">
      <alignment horizontal="center" wrapText="1"/>
    </xf>
    <xf numFmtId="9" fontId="11" fillId="3" borderId="5" xfId="0" applyNumberFormat="1" applyFont="1" applyFill="1" applyBorder="1" applyAlignment="1">
      <alignment wrapText="1"/>
    </xf>
    <xf numFmtId="2" fontId="13" fillId="0" borderId="1" xfId="0" applyNumberFormat="1" applyFont="1" applyBorder="1" applyAlignment="1">
      <alignment horizontal="right" wrapText="1"/>
    </xf>
    <xf numFmtId="9" fontId="7" fillId="3" borderId="5" xfId="0" applyNumberFormat="1" applyFont="1" applyFill="1" applyBorder="1" applyAlignment="1">
      <alignment wrapText="1"/>
    </xf>
    <xf numFmtId="2" fontId="13" fillId="3" borderId="1" xfId="0" applyNumberFormat="1" applyFont="1" applyFill="1" applyBorder="1" applyAlignment="1">
      <alignment horizontal="right" wrapText="1"/>
    </xf>
    <xf numFmtId="2" fontId="10" fillId="3" borderId="1" xfId="0" applyNumberFormat="1" applyFont="1" applyFill="1" applyBorder="1" applyAlignment="1">
      <alignment horizontal="right" wrapText="1"/>
    </xf>
    <xf numFmtId="2" fontId="9" fillId="0" borderId="1" xfId="0" applyNumberFormat="1" applyFont="1" applyBorder="1" applyAlignment="1">
      <alignment wrapText="1"/>
    </xf>
    <xf numFmtId="2" fontId="9" fillId="0" borderId="6" xfId="0" applyNumberFormat="1" applyFont="1" applyBorder="1" applyAlignment="1">
      <alignment wrapText="1"/>
    </xf>
    <xf numFmtId="9" fontId="9" fillId="0" borderId="10" xfId="0" applyNumberFormat="1" applyFont="1" applyBorder="1" applyAlignment="1">
      <alignment wrapText="1"/>
    </xf>
    <xf numFmtId="2" fontId="9" fillId="0" borderId="11" xfId="0" applyNumberFormat="1" applyFont="1" applyBorder="1" applyAlignment="1">
      <alignment wrapText="1"/>
    </xf>
    <xf numFmtId="2" fontId="9" fillId="0" borderId="11" xfId="0" applyNumberFormat="1" applyFont="1" applyBorder="1" applyAlignment="1">
      <alignment horizontal="center" wrapText="1"/>
    </xf>
    <xf numFmtId="2" fontId="13" fillId="0" borderId="11" xfId="0" applyNumberFormat="1" applyFont="1" applyBorder="1" applyAlignment="1">
      <alignment horizontal="right" wrapText="1"/>
    </xf>
    <xf numFmtId="2" fontId="9" fillId="0" borderId="12" xfId="0" applyNumberFormat="1" applyFont="1" applyBorder="1"/>
    <xf numFmtId="0" fontId="7" fillId="0" borderId="9" xfId="0" applyFont="1" applyBorder="1"/>
    <xf numFmtId="165" fontId="9" fillId="0" borderId="1" xfId="0" applyNumberFormat="1" applyFont="1" applyBorder="1" applyAlignment="1">
      <alignment horizontal="center" wrapText="1"/>
    </xf>
    <xf numFmtId="165" fontId="13" fillId="4" borderId="1" xfId="0" applyNumberFormat="1" applyFont="1" applyFill="1" applyBorder="1" applyAlignment="1">
      <alignment horizontal="center" wrapText="1"/>
    </xf>
    <xf numFmtId="165" fontId="13" fillId="4" borderId="6" xfId="0" applyNumberFormat="1" applyFont="1" applyFill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2" fontId="9" fillId="0" borderId="6" xfId="0" applyNumberFormat="1" applyFont="1" applyBorder="1" applyAlignment="1">
      <alignment horizontal="right"/>
    </xf>
    <xf numFmtId="2" fontId="13" fillId="0" borderId="6" xfId="0" applyNumberFormat="1" applyFont="1" applyBorder="1" applyAlignment="1">
      <alignment horizontal="right"/>
    </xf>
    <xf numFmtId="2" fontId="12" fillId="2" borderId="1" xfId="0" applyNumberFormat="1" applyFont="1" applyFill="1" applyBorder="1" applyAlignment="1">
      <alignment horizontal="center" wrapText="1"/>
    </xf>
    <xf numFmtId="2" fontId="12" fillId="2" borderId="6" xfId="0" applyNumberFormat="1" applyFont="1" applyFill="1" applyBorder="1"/>
    <xf numFmtId="2" fontId="9" fillId="2" borderId="6" xfId="0" applyNumberFormat="1" applyFont="1" applyFill="1" applyBorder="1"/>
    <xf numFmtId="9" fontId="9" fillId="3" borderId="5" xfId="0" applyNumberFormat="1" applyFont="1" applyFill="1" applyBorder="1" applyAlignment="1">
      <alignment wrapText="1"/>
    </xf>
    <xf numFmtId="165" fontId="9" fillId="3" borderId="1" xfId="0" applyNumberFormat="1" applyFont="1" applyFill="1" applyBorder="1" applyAlignment="1">
      <alignment horizontal="center" wrapText="1"/>
    </xf>
    <xf numFmtId="165" fontId="10" fillId="3" borderId="1" xfId="0" applyNumberFormat="1" applyFont="1" applyFill="1" applyBorder="1" applyAlignment="1">
      <alignment horizontal="center" wrapText="1"/>
    </xf>
    <xf numFmtId="9" fontId="7" fillId="0" borderId="1" xfId="0" applyNumberFormat="1" applyFont="1" applyBorder="1" applyAlignment="1">
      <alignment wrapText="1"/>
    </xf>
    <xf numFmtId="165" fontId="11" fillId="3" borderId="1" xfId="0" applyNumberFormat="1" applyFont="1" applyFill="1" applyBorder="1" applyAlignment="1">
      <alignment wrapText="1"/>
    </xf>
    <xf numFmtId="2" fontId="9" fillId="2" borderId="1" xfId="0" applyNumberFormat="1" applyFont="1" applyFill="1" applyBorder="1" applyAlignment="1">
      <alignment horizontal="center" wrapText="1"/>
    </xf>
    <xf numFmtId="2" fontId="13" fillId="0" borderId="6" xfId="0" applyNumberFormat="1" applyFont="1" applyBorder="1"/>
    <xf numFmtId="165" fontId="11" fillId="3" borderId="5" xfId="0" applyNumberFormat="1" applyFont="1" applyFill="1" applyBorder="1" applyAlignment="1">
      <alignment wrapText="1"/>
    </xf>
    <xf numFmtId="9" fontId="9" fillId="0" borderId="11" xfId="0" applyNumberFormat="1" applyFont="1" applyBorder="1" applyAlignment="1">
      <alignment wrapText="1"/>
    </xf>
    <xf numFmtId="9" fontId="9" fillId="0" borderId="0" xfId="0" applyNumberFormat="1" applyFont="1" applyBorder="1" applyAlignment="1">
      <alignment wrapText="1"/>
    </xf>
    <xf numFmtId="2" fontId="9" fillId="0" borderId="0" xfId="0" applyNumberFormat="1" applyFont="1" applyBorder="1" applyAlignment="1">
      <alignment wrapText="1"/>
    </xf>
    <xf numFmtId="2" fontId="9" fillId="0" borderId="0" xfId="0" applyNumberFormat="1" applyFont="1" applyBorder="1" applyAlignment="1">
      <alignment horizontal="center" wrapText="1"/>
    </xf>
    <xf numFmtId="2" fontId="13" fillId="0" borderId="0" xfId="0" applyNumberFormat="1" applyFont="1" applyBorder="1" applyAlignment="1">
      <alignment horizontal="right" wrapText="1"/>
    </xf>
    <xf numFmtId="2" fontId="9" fillId="0" borderId="0" xfId="0" applyNumberFormat="1" applyFont="1" applyBorder="1"/>
    <xf numFmtId="0" fontId="9" fillId="0" borderId="13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7" fillId="0" borderId="15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8" xfId="0" applyFont="1" applyBorder="1" applyAlignment="1">
      <alignment wrapText="1"/>
    </xf>
    <xf numFmtId="2" fontId="7" fillId="0" borderId="8" xfId="0" applyNumberFormat="1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2" fontId="7" fillId="0" borderId="6" xfId="0" applyNumberFormat="1" applyFont="1" applyBorder="1"/>
    <xf numFmtId="2" fontId="13" fillId="4" borderId="6" xfId="0" applyNumberFormat="1" applyFont="1" applyFill="1" applyBorder="1"/>
    <xf numFmtId="0" fontId="15" fillId="0" borderId="0" xfId="0" applyFont="1" applyAlignment="1">
      <alignment wrapText="1"/>
    </xf>
    <xf numFmtId="2" fontId="6" fillId="0" borderId="0" xfId="0" applyNumberFormat="1" applyFont="1"/>
    <xf numFmtId="164" fontId="13" fillId="0" borderId="1" xfId="0" applyNumberFormat="1" applyFont="1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4" fillId="0" borderId="0" xfId="0" applyFont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1"/>
  <sheetViews>
    <sheetView topLeftCell="C22" workbookViewId="0">
      <selection activeCell="E28" sqref="E28:S28"/>
    </sheetView>
  </sheetViews>
  <sheetFormatPr defaultRowHeight="15"/>
  <cols>
    <col min="1" max="1" width="29" style="1" customWidth="1"/>
    <col min="2" max="2" width="9.140625" style="1"/>
    <col min="3" max="3" width="11.140625" style="1" customWidth="1"/>
    <col min="4" max="6" width="9.5703125" style="1" bestFit="1" customWidth="1"/>
    <col min="7" max="7" width="10.7109375" style="1" customWidth="1"/>
    <col min="8" max="8" width="10" style="1" customWidth="1"/>
    <col min="9" max="9" width="10.42578125" style="1" customWidth="1"/>
    <col min="10" max="11" width="10.140625" style="1" customWidth="1"/>
    <col min="12" max="13" width="10.28515625" style="1" customWidth="1"/>
    <col min="14" max="14" width="10.140625" style="1" customWidth="1"/>
    <col min="15" max="16" width="10.28515625" style="1" customWidth="1"/>
    <col min="17" max="18" width="9.85546875" style="1" customWidth="1"/>
    <col min="19" max="19" width="10.140625" style="1" customWidth="1"/>
    <col min="20" max="20" width="15.140625" customWidth="1"/>
  </cols>
  <sheetData>
    <row r="1" spans="1:20" ht="15.75" customHeight="1">
      <c r="A1" s="136" t="s">
        <v>27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</row>
    <row r="3" spans="1:20" ht="15" customHeight="1">
      <c r="A3" s="134" t="s">
        <v>24</v>
      </c>
      <c r="B3" s="134" t="s">
        <v>0</v>
      </c>
      <c r="C3" s="134" t="s">
        <v>2</v>
      </c>
      <c r="D3" s="134">
        <v>2015</v>
      </c>
      <c r="E3" s="137">
        <v>2016</v>
      </c>
      <c r="F3" s="137">
        <v>2017</v>
      </c>
      <c r="G3" s="137">
        <v>2018</v>
      </c>
      <c r="H3" s="137">
        <v>2019</v>
      </c>
      <c r="I3" s="137">
        <v>2020</v>
      </c>
      <c r="J3" s="137">
        <v>2021</v>
      </c>
      <c r="K3" s="137">
        <v>2022</v>
      </c>
      <c r="L3" s="137">
        <v>2023</v>
      </c>
      <c r="M3" s="137">
        <v>2024</v>
      </c>
      <c r="N3" s="137">
        <v>2025</v>
      </c>
      <c r="O3" s="137">
        <v>2026</v>
      </c>
      <c r="P3" s="137">
        <v>2027</v>
      </c>
      <c r="Q3" s="137">
        <v>2028</v>
      </c>
      <c r="R3" s="137">
        <v>2029</v>
      </c>
      <c r="S3" s="137">
        <v>2030</v>
      </c>
      <c r="T3" s="139" t="s">
        <v>18</v>
      </c>
    </row>
    <row r="4" spans="1:20">
      <c r="A4" s="135"/>
      <c r="B4" s="135"/>
      <c r="C4" s="135"/>
      <c r="D4" s="135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9"/>
    </row>
    <row r="5" spans="1:20">
      <c r="A5" s="22" t="s">
        <v>16</v>
      </c>
      <c r="B5" s="7"/>
      <c r="C5" s="6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37"/>
    </row>
    <row r="6" spans="1:20">
      <c r="A6" s="2" t="s">
        <v>17</v>
      </c>
      <c r="B6" s="2" t="s">
        <v>1</v>
      </c>
      <c r="C6" s="3">
        <v>15.36</v>
      </c>
      <c r="D6" s="4">
        <v>16.95</v>
      </c>
      <c r="E6" s="4">
        <f>D6*E7</f>
        <v>20.34</v>
      </c>
      <c r="F6" s="4">
        <f t="shared" ref="F6:Q6" si="0">E6*F7</f>
        <v>24.407999999999998</v>
      </c>
      <c r="G6" s="4">
        <f t="shared" si="0"/>
        <v>29.289599999999997</v>
      </c>
      <c r="H6" s="4">
        <f t="shared" si="0"/>
        <v>34.561727999999995</v>
      </c>
      <c r="I6" s="4">
        <f t="shared" si="0"/>
        <v>40.782839039999992</v>
      </c>
      <c r="J6" s="4">
        <f t="shared" si="0"/>
        <v>42.373369762559989</v>
      </c>
      <c r="K6" s="4">
        <f t="shared" si="0"/>
        <v>43.983557813537267</v>
      </c>
      <c r="L6" s="4">
        <f t="shared" si="0"/>
        <v>45.566965894824612</v>
      </c>
      <c r="M6" s="4">
        <f t="shared" si="0"/>
        <v>47.161809701143468</v>
      </c>
      <c r="N6" s="4">
        <f t="shared" si="0"/>
        <v>48.765311230982348</v>
      </c>
      <c r="O6" s="4">
        <f t="shared" si="0"/>
        <v>50.374566501604761</v>
      </c>
      <c r="P6" s="4">
        <f t="shared" si="0"/>
        <v>51.936178063154507</v>
      </c>
      <c r="Q6" s="4">
        <f t="shared" si="0"/>
        <v>53.442327226985981</v>
      </c>
      <c r="R6" s="4">
        <f t="shared" ref="R6" si="1">Q6*R7</f>
        <v>54.938712389341589</v>
      </c>
      <c r="S6" s="4">
        <f t="shared" ref="S6" si="2">R6*S7</f>
        <v>56.476996336243154</v>
      </c>
      <c r="T6" s="24"/>
    </row>
    <row r="7" spans="1:20" s="10" customFormat="1">
      <c r="A7" s="8" t="s">
        <v>14</v>
      </c>
      <c r="B7" s="8" t="s">
        <v>5</v>
      </c>
      <c r="C7" s="9">
        <v>1.04</v>
      </c>
      <c r="D7" s="9">
        <f>D6/C6</f>
        <v>1.103515625</v>
      </c>
      <c r="E7" s="11">
        <v>1.2</v>
      </c>
      <c r="F7" s="11">
        <v>1.2</v>
      </c>
      <c r="G7" s="11">
        <v>1.2</v>
      </c>
      <c r="H7" s="11">
        <v>1.18</v>
      </c>
      <c r="I7" s="11">
        <v>1.18</v>
      </c>
      <c r="J7" s="15">
        <v>1.0389999999999999</v>
      </c>
      <c r="K7" s="15">
        <v>1.038</v>
      </c>
      <c r="L7" s="15">
        <v>1.036</v>
      </c>
      <c r="M7" s="15">
        <v>1.0349999999999999</v>
      </c>
      <c r="N7" s="15">
        <v>1.034</v>
      </c>
      <c r="O7" s="15">
        <v>1.0329999999999999</v>
      </c>
      <c r="P7" s="15">
        <v>1.0309999999999999</v>
      </c>
      <c r="Q7" s="15">
        <v>1.0289999999999999</v>
      </c>
      <c r="R7" s="15">
        <v>1.028</v>
      </c>
      <c r="S7" s="15">
        <v>1.028</v>
      </c>
      <c r="T7" s="25"/>
    </row>
    <row r="8" spans="1:20">
      <c r="A8" s="2" t="s">
        <v>3</v>
      </c>
      <c r="B8" s="2" t="s">
        <v>4</v>
      </c>
      <c r="C8" s="7">
        <v>16043.5</v>
      </c>
      <c r="D8" s="4">
        <v>13914.57</v>
      </c>
      <c r="E8" s="4">
        <v>13914.57</v>
      </c>
      <c r="F8" s="4">
        <v>13914.57</v>
      </c>
      <c r="G8" s="4">
        <v>13914.57</v>
      </c>
      <c r="H8" s="4">
        <v>13914.57</v>
      </c>
      <c r="I8" s="4">
        <v>13914.57</v>
      </c>
      <c r="J8" s="4">
        <v>13914.57</v>
      </c>
      <c r="K8" s="4">
        <v>13914.57</v>
      </c>
      <c r="L8" s="4">
        <v>13914.57</v>
      </c>
      <c r="M8" s="4">
        <v>13914.57</v>
      </c>
      <c r="N8" s="4">
        <v>13914.57</v>
      </c>
      <c r="O8" s="4">
        <v>13914.57</v>
      </c>
      <c r="P8" s="4">
        <v>13914.57</v>
      </c>
      <c r="Q8" s="4">
        <v>13914.57</v>
      </c>
      <c r="R8" s="4">
        <v>13914.57</v>
      </c>
      <c r="S8" s="4">
        <v>13914.57</v>
      </c>
      <c r="T8" s="24"/>
    </row>
    <row r="9" spans="1:20">
      <c r="A9" s="2" t="s">
        <v>8</v>
      </c>
      <c r="B9" s="2" t="s">
        <v>7</v>
      </c>
      <c r="C9" s="7">
        <v>246428.16</v>
      </c>
      <c r="D9" s="4">
        <v>235851.96</v>
      </c>
      <c r="E9" s="4">
        <f>E6*E8</f>
        <v>283022.35379999998</v>
      </c>
      <c r="F9" s="4">
        <f t="shared" ref="F9:R9" si="3">F6*F8</f>
        <v>339626.82455999998</v>
      </c>
      <c r="G9" s="4">
        <f t="shared" si="3"/>
        <v>407552.18947199994</v>
      </c>
      <c r="H9" s="4">
        <f t="shared" si="3"/>
        <v>480911.58357695991</v>
      </c>
      <c r="I9" s="4">
        <f t="shared" si="3"/>
        <v>567475.66862081271</v>
      </c>
      <c r="J9" s="4">
        <f t="shared" si="3"/>
        <v>589607.21969702432</v>
      </c>
      <c r="K9" s="4">
        <f t="shared" si="3"/>
        <v>612012.29404551128</v>
      </c>
      <c r="L9" s="4">
        <f t="shared" si="3"/>
        <v>634044.73663114966</v>
      </c>
      <c r="M9" s="4">
        <f t="shared" si="3"/>
        <v>656236.30241323984</v>
      </c>
      <c r="N9" s="4">
        <f t="shared" si="3"/>
        <v>678548.33669529005</v>
      </c>
      <c r="O9" s="4">
        <f t="shared" si="3"/>
        <v>700940.43180623453</v>
      </c>
      <c r="P9" s="4">
        <f t="shared" si="3"/>
        <v>722669.58519222785</v>
      </c>
      <c r="Q9" s="4">
        <f t="shared" si="3"/>
        <v>743627.00316280231</v>
      </c>
      <c r="R9" s="4">
        <f t="shared" si="3"/>
        <v>764448.55925136083</v>
      </c>
      <c r="S9" s="4">
        <f>S6*S8</f>
        <v>785853.11891039892</v>
      </c>
      <c r="T9" s="24"/>
    </row>
    <row r="10" spans="1:20" ht="19.5" customHeight="1">
      <c r="A10" s="2" t="s">
        <v>10</v>
      </c>
      <c r="B10" s="2" t="s">
        <v>7</v>
      </c>
      <c r="C10" s="7">
        <v>234532.26</v>
      </c>
      <c r="D10" s="4">
        <v>223690.89</v>
      </c>
      <c r="E10" s="4">
        <f>D10*E12</f>
        <v>240244.01586000004</v>
      </c>
      <c r="F10" s="4">
        <f>E10*F12</f>
        <v>253697.68074816006</v>
      </c>
      <c r="G10" s="4">
        <f t="shared" ref="G10:Q10" si="4">F10*G12</f>
        <v>265875.16942407173</v>
      </c>
      <c r="H10" s="4">
        <f t="shared" si="4"/>
        <v>277839.55204815493</v>
      </c>
      <c r="I10" s="4">
        <f t="shared" si="4"/>
        <v>289508.81323417748</v>
      </c>
      <c r="J10" s="4">
        <f t="shared" si="4"/>
        <v>300799.6569503104</v>
      </c>
      <c r="K10" s="4">
        <f t="shared" si="4"/>
        <v>312230.04391442222</v>
      </c>
      <c r="L10" s="4">
        <f t="shared" si="4"/>
        <v>323470.32549534144</v>
      </c>
      <c r="M10" s="4">
        <f t="shared" si="4"/>
        <v>334791.78688767838</v>
      </c>
      <c r="N10" s="4">
        <f t="shared" si="4"/>
        <v>346174.70764185942</v>
      </c>
      <c r="O10" s="4">
        <f t="shared" si="4"/>
        <v>357598.47299404076</v>
      </c>
      <c r="P10" s="4">
        <f t="shared" si="4"/>
        <v>368684.02565685601</v>
      </c>
      <c r="Q10" s="4">
        <f t="shared" si="4"/>
        <v>379375.86240090482</v>
      </c>
      <c r="R10" s="4">
        <f>Q10*R12</f>
        <v>389998.38654813019</v>
      </c>
      <c r="S10" s="4">
        <f>R10*S12</f>
        <v>400918.34137147787</v>
      </c>
      <c r="T10" s="24"/>
    </row>
    <row r="11" spans="1:20">
      <c r="A11" s="2" t="s">
        <v>9</v>
      </c>
      <c r="B11" s="2" t="s">
        <v>7</v>
      </c>
      <c r="C11" s="7">
        <v>895.9</v>
      </c>
      <c r="D11" s="4">
        <v>925</v>
      </c>
      <c r="E11" s="4">
        <f>D11*E12</f>
        <v>993.45</v>
      </c>
      <c r="F11" s="4">
        <f>E11*F12</f>
        <v>1049.0832</v>
      </c>
      <c r="G11" s="4">
        <f t="shared" ref="G11:R11" si="5">F11*G12</f>
        <v>1099.4391936000002</v>
      </c>
      <c r="H11" s="4">
        <f t="shared" si="5"/>
        <v>1148.9139573120001</v>
      </c>
      <c r="I11" s="4">
        <f t="shared" si="5"/>
        <v>1197.1683435191042</v>
      </c>
      <c r="J11" s="4">
        <f t="shared" si="5"/>
        <v>1243.8579089163491</v>
      </c>
      <c r="K11" s="4">
        <f t="shared" si="5"/>
        <v>1291.1245094551703</v>
      </c>
      <c r="L11" s="4">
        <f t="shared" si="5"/>
        <v>1337.6049917955563</v>
      </c>
      <c r="M11" s="4">
        <f t="shared" si="5"/>
        <v>1384.4211665084006</v>
      </c>
      <c r="N11" s="4">
        <f t="shared" si="5"/>
        <v>1431.4914861696861</v>
      </c>
      <c r="O11" s="4">
        <f t="shared" si="5"/>
        <v>1478.7307052132858</v>
      </c>
      <c r="P11" s="4">
        <f t="shared" si="5"/>
        <v>1524.5713570748976</v>
      </c>
      <c r="Q11" s="4">
        <f t="shared" si="5"/>
        <v>1568.7839264300694</v>
      </c>
      <c r="R11" s="4">
        <f t="shared" si="5"/>
        <v>1612.7098763701115</v>
      </c>
      <c r="S11" s="4">
        <f>Q11*S12</f>
        <v>1612.7098763701115</v>
      </c>
      <c r="T11" s="24"/>
    </row>
    <row r="12" spans="1:20" s="10" customFormat="1" ht="30">
      <c r="A12" s="8" t="s">
        <v>15</v>
      </c>
      <c r="B12" s="8" t="s">
        <v>5</v>
      </c>
      <c r="C12" s="9">
        <f>C10/224684.3</f>
        <v>1.0438302097654355</v>
      </c>
      <c r="D12" s="9">
        <f>D10/C10</f>
        <v>0.95377450419827103</v>
      </c>
      <c r="E12" s="15">
        <v>1.0740000000000001</v>
      </c>
      <c r="F12" s="15">
        <v>1.056</v>
      </c>
      <c r="G12" s="15">
        <v>1.048</v>
      </c>
      <c r="H12" s="15">
        <v>1.0449999999999999</v>
      </c>
      <c r="I12" s="15">
        <v>1.042</v>
      </c>
      <c r="J12" s="15">
        <f>J7</f>
        <v>1.0389999999999999</v>
      </c>
      <c r="K12" s="15">
        <f t="shared" ref="K12:S12" si="6">K7</f>
        <v>1.038</v>
      </c>
      <c r="L12" s="15">
        <f t="shared" si="6"/>
        <v>1.036</v>
      </c>
      <c r="M12" s="15">
        <f t="shared" si="6"/>
        <v>1.0349999999999999</v>
      </c>
      <c r="N12" s="15">
        <f t="shared" si="6"/>
        <v>1.034</v>
      </c>
      <c r="O12" s="15">
        <f t="shared" si="6"/>
        <v>1.0329999999999999</v>
      </c>
      <c r="P12" s="15">
        <f t="shared" si="6"/>
        <v>1.0309999999999999</v>
      </c>
      <c r="Q12" s="15">
        <f t="shared" si="6"/>
        <v>1.0289999999999999</v>
      </c>
      <c r="R12" s="15">
        <f t="shared" si="6"/>
        <v>1.028</v>
      </c>
      <c r="S12" s="15">
        <f t="shared" si="6"/>
        <v>1.028</v>
      </c>
      <c r="T12" s="25"/>
    </row>
    <row r="13" spans="1:20" s="14" customFormat="1" ht="23.25" customHeight="1">
      <c r="A13" s="12" t="s">
        <v>6</v>
      </c>
      <c r="B13" s="12" t="s">
        <v>7</v>
      </c>
      <c r="C13" s="13">
        <v>11000</v>
      </c>
      <c r="D13" s="13">
        <v>0</v>
      </c>
      <c r="E13" s="23">
        <f t="shared" ref="E13:J13" si="7">E9-E10-E11-E14</f>
        <v>29772.687146999939</v>
      </c>
      <c r="F13" s="13">
        <f t="shared" si="7"/>
        <v>72195.176574431927</v>
      </c>
      <c r="G13" s="13">
        <f t="shared" si="7"/>
        <v>127283.82238312461</v>
      </c>
      <c r="H13" s="13">
        <f t="shared" si="7"/>
        <v>188031.13996908523</v>
      </c>
      <c r="I13" s="13">
        <f t="shared" si="7"/>
        <v>262294.24638140725</v>
      </c>
      <c r="J13" s="13">
        <f t="shared" si="7"/>
        <v>272523.72199028207</v>
      </c>
      <c r="K13" s="13">
        <f t="shared" ref="K13:S13" si="8">K9-K10-K11-K14</f>
        <v>282879.62342591281</v>
      </c>
      <c r="L13" s="13">
        <f t="shared" si="8"/>
        <v>293063.28986924561</v>
      </c>
      <c r="M13" s="13">
        <f t="shared" si="8"/>
        <v>303320.50501466915</v>
      </c>
      <c r="N13" s="13">
        <f t="shared" si="8"/>
        <v>313633.402185168</v>
      </c>
      <c r="O13" s="13">
        <f t="shared" si="8"/>
        <v>323983.30445727846</v>
      </c>
      <c r="P13" s="13">
        <f t="shared" si="8"/>
        <v>334026.78689545416</v>
      </c>
      <c r="Q13" s="13">
        <f t="shared" si="8"/>
        <v>343713.56371542223</v>
      </c>
      <c r="R13" s="13">
        <f t="shared" si="8"/>
        <v>353337.54349945404</v>
      </c>
      <c r="S13" s="13">
        <f t="shared" si="8"/>
        <v>363276.15059397707</v>
      </c>
      <c r="T13" s="26"/>
    </row>
    <row r="14" spans="1:20" s="14" customFormat="1" ht="25.5" customHeight="1">
      <c r="A14" s="12" t="s">
        <v>12</v>
      </c>
      <c r="B14" s="12" t="s">
        <v>7</v>
      </c>
      <c r="C14" s="13">
        <v>0</v>
      </c>
      <c r="D14" s="13">
        <v>11236.07</v>
      </c>
      <c r="E14" s="13">
        <f>E10*0.05</f>
        <v>12012.200793000004</v>
      </c>
      <c r="F14" s="13">
        <f t="shared" ref="F14:S14" si="9">F10*0.05</f>
        <v>12684.884037408003</v>
      </c>
      <c r="G14" s="13">
        <f t="shared" si="9"/>
        <v>13293.758471203588</v>
      </c>
      <c r="H14" s="13">
        <f t="shared" si="9"/>
        <v>13891.977602407747</v>
      </c>
      <c r="I14" s="13">
        <f t="shared" si="9"/>
        <v>14475.440661708875</v>
      </c>
      <c r="J14" s="13">
        <f t="shared" si="9"/>
        <v>15039.982847515521</v>
      </c>
      <c r="K14" s="13">
        <f t="shared" si="9"/>
        <v>15611.502195721112</v>
      </c>
      <c r="L14" s="13">
        <f t="shared" si="9"/>
        <v>16173.516274767073</v>
      </c>
      <c r="M14" s="13">
        <f t="shared" si="9"/>
        <v>16739.58934438392</v>
      </c>
      <c r="N14" s="13">
        <f t="shared" si="9"/>
        <v>17308.735382092971</v>
      </c>
      <c r="O14" s="13">
        <f t="shared" si="9"/>
        <v>17879.923649702039</v>
      </c>
      <c r="P14" s="13">
        <f t="shared" si="9"/>
        <v>18434.201282842801</v>
      </c>
      <c r="Q14" s="13">
        <f>Q10*0.05</f>
        <v>18968.79312004524</v>
      </c>
      <c r="R14" s="13">
        <f>R10*0.05</f>
        <v>19499.919327406511</v>
      </c>
      <c r="S14" s="13">
        <f t="shared" si="9"/>
        <v>20045.917068573894</v>
      </c>
      <c r="T14" s="26"/>
    </row>
    <row r="15" spans="1:20" s="18" customFormat="1" ht="28.5" customHeight="1">
      <c r="A15" s="16" t="s">
        <v>13</v>
      </c>
      <c r="B15" s="16" t="s">
        <v>7</v>
      </c>
      <c r="C15" s="17">
        <f>C13+C14</f>
        <v>11000</v>
      </c>
      <c r="D15" s="17">
        <f>D13+D14</f>
        <v>11236.07</v>
      </c>
      <c r="E15" s="28">
        <f>E13+E14</f>
        <v>41784.887939999942</v>
      </c>
      <c r="F15" s="28">
        <f t="shared" ref="F15:R15" si="10">F13+F14</f>
        <v>84880.06061183993</v>
      </c>
      <c r="G15" s="28">
        <f t="shared" si="10"/>
        <v>140577.5808543282</v>
      </c>
      <c r="H15" s="28">
        <f t="shared" si="10"/>
        <v>201923.11757149297</v>
      </c>
      <c r="I15" s="28">
        <f t="shared" si="10"/>
        <v>276769.68704311614</v>
      </c>
      <c r="J15" s="28">
        <f t="shared" si="10"/>
        <v>287563.70483779756</v>
      </c>
      <c r="K15" s="28">
        <f t="shared" si="10"/>
        <v>298491.1256216339</v>
      </c>
      <c r="L15" s="28">
        <f t="shared" si="10"/>
        <v>309236.80614401266</v>
      </c>
      <c r="M15" s="28">
        <f t="shared" si="10"/>
        <v>320060.09435905307</v>
      </c>
      <c r="N15" s="28">
        <f t="shared" si="10"/>
        <v>330942.137567261</v>
      </c>
      <c r="O15" s="28">
        <f t="shared" si="10"/>
        <v>341863.2281069805</v>
      </c>
      <c r="P15" s="28">
        <f t="shared" si="10"/>
        <v>352460.98817829695</v>
      </c>
      <c r="Q15" s="28">
        <f t="shared" si="10"/>
        <v>362682.35683546745</v>
      </c>
      <c r="R15" s="28">
        <f t="shared" si="10"/>
        <v>372837.46282686054</v>
      </c>
      <c r="S15" s="28">
        <f>S13+S14</f>
        <v>383322.06766255095</v>
      </c>
      <c r="T15" s="29">
        <f>SUM(E15:S15)</f>
        <v>4105395.3061606917</v>
      </c>
    </row>
    <row r="16" spans="1:20" s="21" customFormat="1" ht="25.5" customHeight="1">
      <c r="A16" s="19" t="s">
        <v>11</v>
      </c>
      <c r="B16" s="19" t="s">
        <v>5</v>
      </c>
      <c r="C16" s="20">
        <f>C15/C10</f>
        <v>4.6901863308697916E-2</v>
      </c>
      <c r="D16" s="20">
        <f>D15/D10</f>
        <v>5.0230342415822117E-2</v>
      </c>
      <c r="E16" s="32">
        <f>E15/E10</f>
        <v>0.17392686261267667</v>
      </c>
      <c r="F16" s="32">
        <f t="shared" ref="F16:Q16" si="11">F15/F10</f>
        <v>0.3345716853284853</v>
      </c>
      <c r="G16" s="32">
        <f t="shared" si="11"/>
        <v>0.528735275124946</v>
      </c>
      <c r="H16" s="32">
        <f t="shared" si="11"/>
        <v>0.72676160065394801</v>
      </c>
      <c r="I16" s="32">
        <f t="shared" si="11"/>
        <v>0.95599744944290543</v>
      </c>
      <c r="J16" s="32">
        <f t="shared" si="11"/>
        <v>0.9559974494429051</v>
      </c>
      <c r="K16" s="32">
        <f t="shared" si="11"/>
        <v>0.9559974494429051</v>
      </c>
      <c r="L16" s="32">
        <f t="shared" si="11"/>
        <v>0.95599744944290488</v>
      </c>
      <c r="M16" s="32">
        <f t="shared" si="11"/>
        <v>0.95599744944290477</v>
      </c>
      <c r="N16" s="32">
        <f t="shared" si="11"/>
        <v>0.95599744944290521</v>
      </c>
      <c r="O16" s="32">
        <f t="shared" si="11"/>
        <v>0.95599744944290499</v>
      </c>
      <c r="P16" s="32">
        <f t="shared" si="11"/>
        <v>0.9559974494429051</v>
      </c>
      <c r="Q16" s="32">
        <f t="shared" si="11"/>
        <v>0.95599744944290488</v>
      </c>
      <c r="R16" s="32">
        <f t="shared" ref="R16" si="12">R15/R10</f>
        <v>0.95599744944290488</v>
      </c>
      <c r="S16" s="32">
        <f>S15/S10</f>
        <v>0.95611008054973767</v>
      </c>
      <c r="T16" s="27"/>
    </row>
    <row r="17" spans="1:20">
      <c r="A17" s="2"/>
      <c r="B17" s="2"/>
      <c r="C17" s="7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24"/>
    </row>
    <row r="18" spans="1:20">
      <c r="A18" s="22" t="s">
        <v>19</v>
      </c>
      <c r="B18" s="7"/>
      <c r="C18" s="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24"/>
    </row>
    <row r="19" spans="1:20">
      <c r="A19" s="2" t="s">
        <v>20</v>
      </c>
      <c r="B19" s="2" t="s">
        <v>1</v>
      </c>
      <c r="C19" s="7">
        <v>19.55</v>
      </c>
      <c r="D19" s="4">
        <v>21.19</v>
      </c>
      <c r="E19" s="4">
        <f>D19*E20</f>
        <v>25.428000000000001</v>
      </c>
      <c r="F19" s="4">
        <f t="shared" ref="F19" si="13">E19*F20</f>
        <v>30.5136</v>
      </c>
      <c r="G19" s="4">
        <f t="shared" ref="G19" si="14">F19*G20</f>
        <v>36.616320000000002</v>
      </c>
      <c r="H19" s="4">
        <f t="shared" ref="H19" si="15">G19*H20</f>
        <v>43.207257599999998</v>
      </c>
      <c r="I19" s="4">
        <f t="shared" ref="I19" si="16">H19*I20</f>
        <v>50.984563967999996</v>
      </c>
      <c r="J19" s="4">
        <f t="shared" ref="J19" si="17">I19*J20</f>
        <v>52.972961962751995</v>
      </c>
      <c r="K19" s="4">
        <f t="shared" ref="K19" si="18">J19*K20</f>
        <v>54.985934517336574</v>
      </c>
      <c r="L19" s="4">
        <f t="shared" ref="L19" si="19">K19*L20</f>
        <v>56.965428159960695</v>
      </c>
      <c r="M19" s="4">
        <f t="shared" ref="M19" si="20">L19*M20</f>
        <v>58.959218145559312</v>
      </c>
      <c r="N19" s="4">
        <f t="shared" ref="N19" si="21">M19*N20</f>
        <v>60.963831562508332</v>
      </c>
      <c r="O19" s="4">
        <f t="shared" ref="O19" si="22">N19*O20</f>
        <v>62.975638004071101</v>
      </c>
      <c r="P19" s="4">
        <f t="shared" ref="P19" si="23">O19*P20</f>
        <v>64.927882782197301</v>
      </c>
      <c r="Q19" s="4">
        <f t="shared" ref="Q19" si="24">P19*Q20</f>
        <v>66.810791382881021</v>
      </c>
      <c r="R19" s="4">
        <f t="shared" ref="R19" si="25">Q19*R20</f>
        <v>68.681493541601697</v>
      </c>
      <c r="S19" s="4">
        <f t="shared" ref="S19" si="26">R19*S20</f>
        <v>70.604575360766546</v>
      </c>
      <c r="T19" s="24"/>
    </row>
    <row r="20" spans="1:20" s="10" customFormat="1">
      <c r="A20" s="8" t="s">
        <v>14</v>
      </c>
      <c r="B20" s="8" t="s">
        <v>5</v>
      </c>
      <c r="C20" s="9">
        <v>1.0429999999999999</v>
      </c>
      <c r="D20" s="9">
        <f>D19/C19</f>
        <v>1.0838874680306905</v>
      </c>
      <c r="E20" s="11">
        <v>1.2</v>
      </c>
      <c r="F20" s="11">
        <v>1.2</v>
      </c>
      <c r="G20" s="11">
        <v>1.2</v>
      </c>
      <c r="H20" s="11">
        <v>1.18</v>
      </c>
      <c r="I20" s="11">
        <v>1.18</v>
      </c>
      <c r="J20" s="15">
        <v>1.0389999999999999</v>
      </c>
      <c r="K20" s="15">
        <v>1.038</v>
      </c>
      <c r="L20" s="15">
        <v>1.036</v>
      </c>
      <c r="M20" s="15">
        <v>1.0349999999999999</v>
      </c>
      <c r="N20" s="15">
        <v>1.034</v>
      </c>
      <c r="O20" s="15">
        <v>1.0329999999999999</v>
      </c>
      <c r="P20" s="15">
        <v>1.0309999999999999</v>
      </c>
      <c r="Q20" s="15">
        <v>1.0289999999999999</v>
      </c>
      <c r="R20" s="15">
        <v>1.028</v>
      </c>
      <c r="S20" s="15">
        <v>1.028</v>
      </c>
      <c r="T20" s="25"/>
    </row>
    <row r="21" spans="1:20">
      <c r="A21" s="2" t="s">
        <v>3</v>
      </c>
      <c r="B21" s="2" t="s">
        <v>4</v>
      </c>
      <c r="C21" s="7">
        <v>10133</v>
      </c>
      <c r="D21" s="4">
        <v>9561</v>
      </c>
      <c r="E21" s="4">
        <v>9561</v>
      </c>
      <c r="F21" s="4">
        <v>9561</v>
      </c>
      <c r="G21" s="4">
        <v>9561</v>
      </c>
      <c r="H21" s="4">
        <v>9561</v>
      </c>
      <c r="I21" s="4">
        <v>9561</v>
      </c>
      <c r="J21" s="4">
        <v>9561</v>
      </c>
      <c r="K21" s="4">
        <v>9561</v>
      </c>
      <c r="L21" s="4">
        <v>9561</v>
      </c>
      <c r="M21" s="4">
        <v>9561</v>
      </c>
      <c r="N21" s="4">
        <v>9561</v>
      </c>
      <c r="O21" s="4">
        <v>9561</v>
      </c>
      <c r="P21" s="4">
        <v>9561</v>
      </c>
      <c r="Q21" s="4">
        <v>9561</v>
      </c>
      <c r="R21" s="4">
        <v>9561</v>
      </c>
      <c r="S21" s="4">
        <v>9561</v>
      </c>
      <c r="T21" s="24"/>
    </row>
    <row r="22" spans="1:20">
      <c r="A22" s="2" t="s">
        <v>8</v>
      </c>
      <c r="B22" s="2" t="s">
        <v>7</v>
      </c>
      <c r="C22" s="7">
        <v>198100.15</v>
      </c>
      <c r="D22" s="4">
        <v>202597.59</v>
      </c>
      <c r="E22" s="4">
        <f>E19*E21</f>
        <v>243117.10800000001</v>
      </c>
      <c r="F22" s="4">
        <f t="shared" ref="F22" si="27">F19*F21</f>
        <v>291740.52960000001</v>
      </c>
      <c r="G22" s="4">
        <f t="shared" ref="G22" si="28">G19*G21</f>
        <v>350088.63552000001</v>
      </c>
      <c r="H22" s="4">
        <f t="shared" ref="H22" si="29">H19*H21</f>
        <v>413104.58991360001</v>
      </c>
      <c r="I22" s="4">
        <f t="shared" ref="I22" si="30">I19*I21</f>
        <v>487463.41609804798</v>
      </c>
      <c r="J22" s="4">
        <f t="shared" ref="J22" si="31">J19*J21</f>
        <v>506474.48932587181</v>
      </c>
      <c r="K22" s="4">
        <f t="shared" ref="K22" si="32">K19*K21</f>
        <v>525720.51992025494</v>
      </c>
      <c r="L22" s="4">
        <f t="shared" ref="L22" si="33">L19*L21</f>
        <v>544646.45863738423</v>
      </c>
      <c r="M22" s="4">
        <f t="shared" ref="M22" si="34">M19*M21</f>
        <v>563709.08468969259</v>
      </c>
      <c r="N22" s="4">
        <f t="shared" ref="N22" si="35">N19*N21</f>
        <v>582875.19356914214</v>
      </c>
      <c r="O22" s="4">
        <f t="shared" ref="O22" si="36">O19*O21</f>
        <v>602110.07495692384</v>
      </c>
      <c r="P22" s="4">
        <f t="shared" ref="P22" si="37">P19*P21</f>
        <v>620775.48728058836</v>
      </c>
      <c r="Q22" s="4">
        <f t="shared" ref="Q22" si="38">Q19*Q21</f>
        <v>638777.97641172539</v>
      </c>
      <c r="R22" s="4">
        <f t="shared" ref="R22" si="39">R19*R21</f>
        <v>656663.75975125388</v>
      </c>
      <c r="S22" s="4">
        <f>S19*S21</f>
        <v>675050.34502428898</v>
      </c>
      <c r="T22" s="24"/>
    </row>
    <row r="23" spans="1:20" ht="19.5" customHeight="1">
      <c r="A23" s="2" t="s">
        <v>10</v>
      </c>
      <c r="B23" s="2" t="s">
        <v>7</v>
      </c>
      <c r="C23" s="13">
        <f>C22-C24-C26</f>
        <v>189582.65</v>
      </c>
      <c r="D23" s="4">
        <f>D22-D24-D28</f>
        <v>192362.05</v>
      </c>
      <c r="E23" s="4">
        <f>D23*E25</f>
        <v>206596.84169999999</v>
      </c>
      <c r="F23" s="4">
        <f>E23*F25</f>
        <v>218166.26483520001</v>
      </c>
      <c r="G23" s="4">
        <f t="shared" ref="G23:Q23" si="40">F23*G25</f>
        <v>228638.24554728961</v>
      </c>
      <c r="H23" s="4">
        <f t="shared" si="40"/>
        <v>238926.96659691763</v>
      </c>
      <c r="I23" s="4">
        <f t="shared" si="40"/>
        <v>248961.89919398818</v>
      </c>
      <c r="J23" s="4">
        <f t="shared" si="40"/>
        <v>258671.41326255369</v>
      </c>
      <c r="K23" s="4">
        <f t="shared" si="40"/>
        <v>268500.92696653074</v>
      </c>
      <c r="L23" s="4">
        <f t="shared" si="40"/>
        <v>278166.96033732587</v>
      </c>
      <c r="M23" s="4">
        <f t="shared" si="40"/>
        <v>287902.80394913227</v>
      </c>
      <c r="N23" s="4">
        <f t="shared" si="40"/>
        <v>297691.49928340275</v>
      </c>
      <c r="O23" s="4">
        <f t="shared" si="40"/>
        <v>307515.318759755</v>
      </c>
      <c r="P23" s="4">
        <f t="shared" si="40"/>
        <v>317048.29364130739</v>
      </c>
      <c r="Q23" s="4">
        <f t="shared" si="40"/>
        <v>326242.69415690529</v>
      </c>
      <c r="R23" s="4">
        <f>Q23*R25</f>
        <v>335377.48959329864</v>
      </c>
      <c r="S23" s="4">
        <f>R23*S25</f>
        <v>344768.05930191104</v>
      </c>
      <c r="T23" s="24"/>
    </row>
    <row r="24" spans="1:20" ht="30">
      <c r="A24" s="2" t="s">
        <v>21</v>
      </c>
      <c r="B24" s="2" t="s">
        <v>7</v>
      </c>
      <c r="C24" s="7">
        <v>2217.5</v>
      </c>
      <c r="D24" s="4">
        <v>561</v>
      </c>
      <c r="E24" s="4">
        <f>D24*E25</f>
        <v>602.51400000000001</v>
      </c>
      <c r="F24" s="4">
        <f>E24*F25</f>
        <v>636.25478400000009</v>
      </c>
      <c r="G24" s="4">
        <f t="shared" ref="G24" si="41">F24*G25</f>
        <v>666.79501363200006</v>
      </c>
      <c r="H24" s="4">
        <f t="shared" ref="H24" si="42">G24*H25</f>
        <v>696.80078924544</v>
      </c>
      <c r="I24" s="4">
        <f t="shared" ref="I24" si="43">H24*I25</f>
        <v>726.06642239374855</v>
      </c>
      <c r="J24" s="4">
        <f t="shared" ref="J24" si="44">I24*J25</f>
        <v>754.38301286710464</v>
      </c>
      <c r="K24" s="4">
        <f t="shared" ref="K24" si="45">J24*K25</f>
        <v>783.04956735605469</v>
      </c>
      <c r="L24" s="4">
        <f t="shared" ref="L24" si="46">K24*L25</f>
        <v>811.23935178087265</v>
      </c>
      <c r="M24" s="4">
        <f t="shared" ref="M24" si="47">L24*M25</f>
        <v>839.63272909320312</v>
      </c>
      <c r="N24" s="4">
        <f t="shared" ref="N24" si="48">M24*N25</f>
        <v>868.180241882372</v>
      </c>
      <c r="O24" s="4">
        <f t="shared" ref="O24" si="49">N24*O25</f>
        <v>896.83018986449019</v>
      </c>
      <c r="P24" s="4">
        <f t="shared" ref="P24" si="50">O24*P25</f>
        <v>924.63192575028927</v>
      </c>
      <c r="Q24" s="4">
        <f t="shared" ref="Q24" si="51">P24*Q25</f>
        <v>951.44625159704754</v>
      </c>
      <c r="R24" s="4">
        <f t="shared" ref="R24" si="52">Q24*R25</f>
        <v>978.08674664176488</v>
      </c>
      <c r="S24" s="4">
        <f>Q24*S25</f>
        <v>978.08674664176488</v>
      </c>
      <c r="T24" s="24"/>
    </row>
    <row r="25" spans="1:20" s="10" customFormat="1" ht="30">
      <c r="A25" s="8" t="s">
        <v>15</v>
      </c>
      <c r="B25" s="8" t="s">
        <v>5</v>
      </c>
      <c r="C25" s="9">
        <f>C23/181163.8</f>
        <v>1.0464709285188321</v>
      </c>
      <c r="D25" s="9">
        <f>D23/C23</f>
        <v>1.014660624271261</v>
      </c>
      <c r="E25" s="15">
        <v>1.0740000000000001</v>
      </c>
      <c r="F25" s="15">
        <v>1.056</v>
      </c>
      <c r="G25" s="15">
        <v>1.048</v>
      </c>
      <c r="H25" s="15">
        <v>1.0449999999999999</v>
      </c>
      <c r="I25" s="15">
        <v>1.042</v>
      </c>
      <c r="J25" s="15">
        <f>J20</f>
        <v>1.0389999999999999</v>
      </c>
      <c r="K25" s="15">
        <f t="shared" ref="K25:S25" si="53">K20</f>
        <v>1.038</v>
      </c>
      <c r="L25" s="15">
        <f t="shared" si="53"/>
        <v>1.036</v>
      </c>
      <c r="M25" s="15">
        <f t="shared" si="53"/>
        <v>1.0349999999999999</v>
      </c>
      <c r="N25" s="15">
        <f t="shared" si="53"/>
        <v>1.034</v>
      </c>
      <c r="O25" s="15">
        <f t="shared" si="53"/>
        <v>1.0329999999999999</v>
      </c>
      <c r="P25" s="15">
        <f t="shared" si="53"/>
        <v>1.0309999999999999</v>
      </c>
      <c r="Q25" s="15">
        <f t="shared" si="53"/>
        <v>1.0289999999999999</v>
      </c>
      <c r="R25" s="15">
        <f t="shared" si="53"/>
        <v>1.028</v>
      </c>
      <c r="S25" s="15">
        <f t="shared" si="53"/>
        <v>1.028</v>
      </c>
      <c r="T25" s="25"/>
    </row>
    <row r="26" spans="1:20" s="14" customFormat="1" ht="23.25" customHeight="1">
      <c r="A26" s="12" t="s">
        <v>6</v>
      </c>
      <c r="B26" s="12" t="s">
        <v>7</v>
      </c>
      <c r="C26" s="13">
        <v>6300</v>
      </c>
      <c r="D26" s="13">
        <v>0</v>
      </c>
      <c r="E26" s="23">
        <f t="shared" ref="E26:J26" si="54">E22-E23-E24-E27</f>
        <v>25587.910215000014</v>
      </c>
      <c r="F26" s="13">
        <f t="shared" si="54"/>
        <v>62029.696739039995</v>
      </c>
      <c r="G26" s="13">
        <f t="shared" si="54"/>
        <v>109351.68268171392</v>
      </c>
      <c r="H26" s="13">
        <f t="shared" si="54"/>
        <v>161534.47419759107</v>
      </c>
      <c r="I26" s="13">
        <f t="shared" si="54"/>
        <v>225327.35552196665</v>
      </c>
      <c r="J26" s="13">
        <f t="shared" si="54"/>
        <v>234115.12238732335</v>
      </c>
      <c r="K26" s="13">
        <f t="shared" ref="K26" si="55">K22-K23-K24-K27</f>
        <v>243011.49703804159</v>
      </c>
      <c r="L26" s="13">
        <f t="shared" ref="L26" si="56">L22-L23-L24-L27</f>
        <v>251759.9109314112</v>
      </c>
      <c r="M26" s="13">
        <f t="shared" ref="M26" si="57">M22-M23-M24-M27</f>
        <v>260571.50781401052</v>
      </c>
      <c r="N26" s="13">
        <f t="shared" ref="N26" si="58">N22-N23-N24-N27</f>
        <v>269430.93907968688</v>
      </c>
      <c r="O26" s="13">
        <f t="shared" ref="O26" si="59">O22-O23-O24-O27</f>
        <v>278322.16006931657</v>
      </c>
      <c r="P26" s="13">
        <f t="shared" ref="P26" si="60">P22-P23-P24-P27</f>
        <v>286950.14703146531</v>
      </c>
      <c r="Q26" s="13">
        <f t="shared" ref="Q26" si="61">Q22-Q23-Q24-Q27</f>
        <v>295271.7012953778</v>
      </c>
      <c r="R26" s="13">
        <f t="shared" ref="R26" si="62">R22-R23-R24-R27</f>
        <v>303539.3089316485</v>
      </c>
      <c r="S26" s="13">
        <f t="shared" ref="S26" si="63">S22-S23-S24-S27</f>
        <v>312065.79601064062</v>
      </c>
      <c r="T26" s="26"/>
    </row>
    <row r="27" spans="1:20" s="14" customFormat="1" ht="25.5" customHeight="1">
      <c r="A27" s="12" t="s">
        <v>12</v>
      </c>
      <c r="B27" s="12" t="s">
        <v>7</v>
      </c>
      <c r="C27" s="13">
        <v>0</v>
      </c>
      <c r="D27" s="13">
        <v>9674.5400000000009</v>
      </c>
      <c r="E27" s="13">
        <f>E23*0.05</f>
        <v>10329.842085</v>
      </c>
      <c r="F27" s="13">
        <f t="shared" ref="F27:P27" si="64">F23*0.05</f>
        <v>10908.313241760001</v>
      </c>
      <c r="G27" s="13">
        <f t="shared" si="64"/>
        <v>11431.912277364481</v>
      </c>
      <c r="H27" s="13">
        <f t="shared" si="64"/>
        <v>11946.348329845881</v>
      </c>
      <c r="I27" s="13">
        <f t="shared" si="64"/>
        <v>12448.094959699411</v>
      </c>
      <c r="J27" s="13">
        <f t="shared" si="64"/>
        <v>12933.570663127684</v>
      </c>
      <c r="K27" s="13">
        <f t="shared" si="64"/>
        <v>13425.046348326538</v>
      </c>
      <c r="L27" s="13">
        <f t="shared" si="64"/>
        <v>13908.348016866294</v>
      </c>
      <c r="M27" s="13">
        <f t="shared" si="64"/>
        <v>14395.140197456614</v>
      </c>
      <c r="N27" s="13">
        <f t="shared" si="64"/>
        <v>14884.574964170139</v>
      </c>
      <c r="O27" s="13">
        <f t="shared" si="64"/>
        <v>15375.765937987751</v>
      </c>
      <c r="P27" s="13">
        <f t="shared" si="64"/>
        <v>15852.41468206537</v>
      </c>
      <c r="Q27" s="13">
        <f>Q23*0.05</f>
        <v>16312.134707845265</v>
      </c>
      <c r="R27" s="13">
        <f>R23*0.05</f>
        <v>16768.874479664933</v>
      </c>
      <c r="S27" s="13">
        <f t="shared" ref="S27" si="65">S23*0.05</f>
        <v>17238.402965095553</v>
      </c>
      <c r="T27" s="26"/>
    </row>
    <row r="28" spans="1:20" s="18" customFormat="1" ht="28.5" customHeight="1">
      <c r="A28" s="16" t="s">
        <v>13</v>
      </c>
      <c r="B28" s="16" t="s">
        <v>7</v>
      </c>
      <c r="C28" s="17">
        <f>C26+C27</f>
        <v>6300</v>
      </c>
      <c r="D28" s="17">
        <f>D26+D27</f>
        <v>9674.5400000000009</v>
      </c>
      <c r="E28" s="28">
        <f>E26+E27</f>
        <v>35917.752300000015</v>
      </c>
      <c r="F28" s="28">
        <f t="shared" ref="F28" si="66">F26+F27</f>
        <v>72938.009980799994</v>
      </c>
      <c r="G28" s="28">
        <f t="shared" ref="G28" si="67">G26+G27</f>
        <v>120783.5949590784</v>
      </c>
      <c r="H28" s="28">
        <f t="shared" ref="H28" si="68">H26+H27</f>
        <v>173480.82252743695</v>
      </c>
      <c r="I28" s="28">
        <f t="shared" ref="I28" si="69">I26+I27</f>
        <v>237775.45048166605</v>
      </c>
      <c r="J28" s="28">
        <f t="shared" ref="J28" si="70">J26+J27</f>
        <v>247048.69305045105</v>
      </c>
      <c r="K28" s="28">
        <f t="shared" ref="K28" si="71">K26+K27</f>
        <v>256436.54338636814</v>
      </c>
      <c r="L28" s="28">
        <f t="shared" ref="L28" si="72">L26+L27</f>
        <v>265668.25894827751</v>
      </c>
      <c r="M28" s="28">
        <f t="shared" ref="M28" si="73">M26+M27</f>
        <v>274966.64801146713</v>
      </c>
      <c r="N28" s="28">
        <f t="shared" ref="N28" si="74">N26+N27</f>
        <v>284315.51404385699</v>
      </c>
      <c r="O28" s="28">
        <f t="shared" ref="O28" si="75">O26+O27</f>
        <v>293697.92600730434</v>
      </c>
      <c r="P28" s="28">
        <f t="shared" ref="P28" si="76">P26+P27</f>
        <v>302802.56171353068</v>
      </c>
      <c r="Q28" s="28">
        <f t="shared" ref="Q28" si="77">Q26+Q27</f>
        <v>311583.83600322308</v>
      </c>
      <c r="R28" s="28">
        <f t="shared" ref="R28" si="78">R26+R27</f>
        <v>320308.18341131345</v>
      </c>
      <c r="S28" s="28">
        <f>S26+S27</f>
        <v>329304.19897573616</v>
      </c>
      <c r="T28" s="29">
        <f>SUM(E28:S28)</f>
        <v>3527027.9938005097</v>
      </c>
    </row>
    <row r="29" spans="1:20" s="21" customFormat="1" ht="25.5" customHeight="1">
      <c r="A29" s="19" t="s">
        <v>11</v>
      </c>
      <c r="B29" s="19" t="s">
        <v>5</v>
      </c>
      <c r="C29" s="20">
        <f>C28/C23</f>
        <v>3.3230889008039499E-2</v>
      </c>
      <c r="D29" s="20">
        <f>D28/D23</f>
        <v>5.0293392069797556E-2</v>
      </c>
      <c r="E29" s="32">
        <f>E28/E23</f>
        <v>0.17385431454056935</v>
      </c>
      <c r="F29" s="32">
        <f t="shared" ref="F29" si="79">F28/F23</f>
        <v>0.33432304502209098</v>
      </c>
      <c r="G29" s="32">
        <f t="shared" ref="G29" si="80">G28/G23</f>
        <v>0.52827380069314145</v>
      </c>
      <c r="H29" s="32">
        <f t="shared" ref="H29" si="81">H28/H23</f>
        <v>0.72608305792501115</v>
      </c>
      <c r="I29" s="32">
        <f t="shared" ref="I29" si="82">I28/I23</f>
        <v>0.9550676278236222</v>
      </c>
      <c r="J29" s="32">
        <f t="shared" ref="J29" si="83">J28/J23</f>
        <v>0.95506762782362242</v>
      </c>
      <c r="K29" s="32">
        <f t="shared" ref="K29" si="84">K28/K23</f>
        <v>0.9550676278236222</v>
      </c>
      <c r="L29" s="32">
        <f t="shared" ref="L29" si="85">L28/L23</f>
        <v>0.95506762782362253</v>
      </c>
      <c r="M29" s="32">
        <f t="shared" ref="M29" si="86">M28/M23</f>
        <v>0.9550676278236222</v>
      </c>
      <c r="N29" s="32">
        <f t="shared" ref="N29" si="87">N28/N23</f>
        <v>0.9550676278236222</v>
      </c>
      <c r="O29" s="32">
        <f t="shared" ref="O29" si="88">O28/O23</f>
        <v>0.95506762782362253</v>
      </c>
      <c r="P29" s="32">
        <f t="shared" ref="P29" si="89">P28/P23</f>
        <v>0.95506762782362231</v>
      </c>
      <c r="Q29" s="32">
        <f t="shared" ref="Q29" si="90">Q28/Q23</f>
        <v>0.95506762782362242</v>
      </c>
      <c r="R29" s="32">
        <f t="shared" ref="R29" si="91">R28/R23</f>
        <v>0.95506762782362276</v>
      </c>
      <c r="S29" s="32">
        <f>S28/S23</f>
        <v>0.95514706218004586</v>
      </c>
      <c r="T29" s="27"/>
    </row>
    <row r="31" spans="1:20" ht="30">
      <c r="A31" s="30" t="s">
        <v>22</v>
      </c>
      <c r="B31" s="30" t="s">
        <v>7</v>
      </c>
      <c r="C31" s="30"/>
      <c r="D31" s="30"/>
      <c r="E31" s="31">
        <f>E15+E28</f>
        <v>77702.64023999995</v>
      </c>
      <c r="F31" s="31">
        <f t="shared" ref="F31:S31" si="92">F15+F28</f>
        <v>157818.07059263991</v>
      </c>
      <c r="G31" s="31">
        <f t="shared" si="92"/>
        <v>261361.17581340659</v>
      </c>
      <c r="H31" s="31">
        <f t="shared" si="92"/>
        <v>375403.94009892992</v>
      </c>
      <c r="I31" s="31">
        <f t="shared" si="92"/>
        <v>514545.13752478221</v>
      </c>
      <c r="J31" s="31">
        <f t="shared" si="92"/>
        <v>534612.39788824855</v>
      </c>
      <c r="K31" s="31">
        <f t="shared" si="92"/>
        <v>554927.66900800203</v>
      </c>
      <c r="L31" s="31">
        <f t="shared" si="92"/>
        <v>574905.06509229017</v>
      </c>
      <c r="M31" s="31">
        <f t="shared" si="92"/>
        <v>595026.74237052025</v>
      </c>
      <c r="N31" s="31">
        <f t="shared" si="92"/>
        <v>615257.651611118</v>
      </c>
      <c r="O31" s="31">
        <f t="shared" si="92"/>
        <v>635561.15411428479</v>
      </c>
      <c r="P31" s="31">
        <f t="shared" si="92"/>
        <v>655263.54989182763</v>
      </c>
      <c r="Q31" s="31">
        <f t="shared" si="92"/>
        <v>674266.19283869048</v>
      </c>
      <c r="R31" s="31">
        <f t="shared" si="92"/>
        <v>693145.64623817406</v>
      </c>
      <c r="S31" s="31">
        <f t="shared" si="92"/>
        <v>712626.26663828711</v>
      </c>
      <c r="T31" s="29">
        <f>SUM(E31:S31)</f>
        <v>7632423.2999612018</v>
      </c>
    </row>
  </sheetData>
  <mergeCells count="21">
    <mergeCell ref="T3:T4"/>
    <mergeCell ref="N3:N4"/>
    <mergeCell ref="O3:O4"/>
    <mergeCell ref="P3:P4"/>
    <mergeCell ref="Q3:Q4"/>
    <mergeCell ref="R3:R4"/>
    <mergeCell ref="A3:A4"/>
    <mergeCell ref="B3:B4"/>
    <mergeCell ref="A1:S1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S3:S4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1"/>
  <sheetViews>
    <sheetView topLeftCell="A22" workbookViewId="0">
      <selection sqref="A1:T31"/>
    </sheetView>
  </sheetViews>
  <sheetFormatPr defaultRowHeight="15"/>
  <cols>
    <col min="1" max="1" width="30.28515625" style="1" customWidth="1"/>
    <col min="2" max="2" width="9.140625" style="1"/>
    <col min="3" max="3" width="11.140625" style="1" customWidth="1"/>
    <col min="4" max="6" width="9.5703125" style="1" bestFit="1" customWidth="1"/>
    <col min="7" max="7" width="10.7109375" style="1" customWidth="1"/>
    <col min="8" max="8" width="10" style="1" customWidth="1"/>
    <col min="9" max="9" width="10.42578125" style="1" customWidth="1"/>
    <col min="10" max="11" width="10.140625" style="1" customWidth="1"/>
    <col min="12" max="13" width="10.28515625" style="1" customWidth="1"/>
    <col min="14" max="14" width="10.140625" style="1" customWidth="1"/>
    <col min="15" max="16" width="10.28515625" style="1" customWidth="1"/>
    <col min="17" max="18" width="9.85546875" style="1" customWidth="1"/>
    <col min="19" max="19" width="10.140625" style="1" customWidth="1"/>
    <col min="20" max="20" width="15.140625" customWidth="1"/>
  </cols>
  <sheetData>
    <row r="1" spans="1:20" ht="15.75">
      <c r="A1" s="136" t="s">
        <v>26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</row>
    <row r="3" spans="1:20" ht="15" customHeight="1">
      <c r="A3" s="134" t="s">
        <v>24</v>
      </c>
      <c r="B3" s="134" t="s">
        <v>0</v>
      </c>
      <c r="C3" s="134" t="s">
        <v>2</v>
      </c>
      <c r="D3" s="134">
        <v>2015</v>
      </c>
      <c r="E3" s="137">
        <v>2016</v>
      </c>
      <c r="F3" s="137">
        <v>2017</v>
      </c>
      <c r="G3" s="137">
        <v>2018</v>
      </c>
      <c r="H3" s="137">
        <v>2019</v>
      </c>
      <c r="I3" s="137">
        <v>2020</v>
      </c>
      <c r="J3" s="137">
        <v>2021</v>
      </c>
      <c r="K3" s="137">
        <v>2022</v>
      </c>
      <c r="L3" s="137">
        <v>2023</v>
      </c>
      <c r="M3" s="137">
        <v>2024</v>
      </c>
      <c r="N3" s="137">
        <v>2025</v>
      </c>
      <c r="O3" s="137">
        <v>2026</v>
      </c>
      <c r="P3" s="137">
        <v>2027</v>
      </c>
      <c r="Q3" s="137">
        <v>2028</v>
      </c>
      <c r="R3" s="137">
        <v>2029</v>
      </c>
      <c r="S3" s="137">
        <v>2030</v>
      </c>
      <c r="T3" s="139" t="s">
        <v>18</v>
      </c>
    </row>
    <row r="4" spans="1:20">
      <c r="A4" s="135"/>
      <c r="B4" s="135"/>
      <c r="C4" s="135"/>
      <c r="D4" s="135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9"/>
    </row>
    <row r="5" spans="1:20">
      <c r="A5" s="22" t="s">
        <v>16</v>
      </c>
      <c r="B5" s="7"/>
      <c r="C5" s="6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38"/>
    </row>
    <row r="6" spans="1:20">
      <c r="A6" s="2" t="s">
        <v>17</v>
      </c>
      <c r="B6" s="2" t="s">
        <v>1</v>
      </c>
      <c r="C6" s="7">
        <v>15.36</v>
      </c>
      <c r="D6" s="4">
        <v>16.95</v>
      </c>
      <c r="E6" s="4">
        <f>E9/E8</f>
        <v>19.408917973261129</v>
      </c>
      <c r="F6" s="4">
        <f t="shared" ref="F6:S6" si="0">F9/F8</f>
        <v>20.495817379763746</v>
      </c>
      <c r="G6" s="4">
        <f t="shared" si="0"/>
        <v>21.479616613992409</v>
      </c>
      <c r="H6" s="4">
        <f t="shared" si="0"/>
        <v>22.446199361622064</v>
      </c>
      <c r="I6" s="4">
        <f t="shared" si="0"/>
        <v>23.388939734810194</v>
      </c>
      <c r="J6" s="4">
        <f t="shared" si="0"/>
        <v>24.301108384467792</v>
      </c>
      <c r="K6" s="4">
        <f t="shared" si="0"/>
        <v>25.22455050307757</v>
      </c>
      <c r="L6" s="4">
        <f t="shared" si="0"/>
        <v>26.132634321188366</v>
      </c>
      <c r="M6" s="4">
        <f t="shared" si="0"/>
        <v>27.047276522429954</v>
      </c>
      <c r="N6" s="4">
        <f t="shared" si="0"/>
        <v>27.966883924192572</v>
      </c>
      <c r="O6" s="4">
        <f t="shared" si="0"/>
        <v>28.889791093690924</v>
      </c>
      <c r="P6" s="4">
        <f t="shared" si="0"/>
        <v>29.785374617595341</v>
      </c>
      <c r="Q6" s="4">
        <f t="shared" si="0"/>
        <v>30.649150481505604</v>
      </c>
      <c r="R6" s="4">
        <f t="shared" si="0"/>
        <v>31.507326694987764</v>
      </c>
      <c r="S6" s="4">
        <f t="shared" si="0"/>
        <v>32.386286619882995</v>
      </c>
      <c r="T6" s="24"/>
    </row>
    <row r="7" spans="1:20" s="10" customFormat="1">
      <c r="A7" s="8" t="s">
        <v>14</v>
      </c>
      <c r="B7" s="8" t="s">
        <v>5</v>
      </c>
      <c r="C7" s="9">
        <v>1.04</v>
      </c>
      <c r="D7" s="9">
        <f>D6/C6</f>
        <v>1.103515625</v>
      </c>
      <c r="E7" s="11">
        <f>E6/D6</f>
        <v>1.1450689069770579</v>
      </c>
      <c r="F7" s="11">
        <f t="shared" ref="F7:I7" si="1">F6/E6</f>
        <v>1.0559999999999996</v>
      </c>
      <c r="G7" s="11">
        <f t="shared" si="1"/>
        <v>1.048</v>
      </c>
      <c r="H7" s="11">
        <f t="shared" si="1"/>
        <v>1.0449999999999999</v>
      </c>
      <c r="I7" s="11">
        <f t="shared" si="1"/>
        <v>1.042</v>
      </c>
      <c r="J7" s="15">
        <f>J6/I6</f>
        <v>1.0389999999999999</v>
      </c>
      <c r="K7" s="15">
        <f t="shared" ref="K7:S7" si="2">K6/J6</f>
        <v>1.038</v>
      </c>
      <c r="L7" s="15">
        <f t="shared" si="2"/>
        <v>1.0360000000000003</v>
      </c>
      <c r="M7" s="15">
        <f t="shared" si="2"/>
        <v>1.0349999999999997</v>
      </c>
      <c r="N7" s="15">
        <f t="shared" si="2"/>
        <v>1.034</v>
      </c>
      <c r="O7" s="15">
        <f t="shared" si="2"/>
        <v>1.0329999999999999</v>
      </c>
      <c r="P7" s="15">
        <f t="shared" si="2"/>
        <v>1.0309999999999999</v>
      </c>
      <c r="Q7" s="15">
        <f t="shared" si="2"/>
        <v>1.0289999999999999</v>
      </c>
      <c r="R7" s="15">
        <f t="shared" si="2"/>
        <v>1.028</v>
      </c>
      <c r="S7" s="15">
        <f t="shared" si="2"/>
        <v>1.0278970010183395</v>
      </c>
      <c r="T7" s="25"/>
    </row>
    <row r="8" spans="1:20">
      <c r="A8" s="2" t="s">
        <v>3</v>
      </c>
      <c r="B8" s="2" t="s">
        <v>4</v>
      </c>
      <c r="C8" s="7">
        <v>16043.5</v>
      </c>
      <c r="D8" s="4">
        <v>13914.57</v>
      </c>
      <c r="E8" s="4">
        <v>13914.57</v>
      </c>
      <c r="F8" s="4">
        <v>13914.57</v>
      </c>
      <c r="G8" s="4">
        <v>13914.57</v>
      </c>
      <c r="H8" s="4">
        <v>13914.57</v>
      </c>
      <c r="I8" s="4">
        <v>13914.57</v>
      </c>
      <c r="J8" s="4">
        <v>13914.57</v>
      </c>
      <c r="K8" s="4">
        <v>13914.57</v>
      </c>
      <c r="L8" s="4">
        <v>13914.57</v>
      </c>
      <c r="M8" s="4">
        <v>13914.57</v>
      </c>
      <c r="N8" s="4">
        <v>13914.57</v>
      </c>
      <c r="O8" s="4">
        <v>13914.57</v>
      </c>
      <c r="P8" s="4">
        <v>13914.57</v>
      </c>
      <c r="Q8" s="4">
        <v>13914.57</v>
      </c>
      <c r="R8" s="4">
        <v>13914.57</v>
      </c>
      <c r="S8" s="4">
        <v>13914.57</v>
      </c>
      <c r="T8" s="24"/>
    </row>
    <row r="9" spans="1:20">
      <c r="A9" s="2" t="s">
        <v>8</v>
      </c>
      <c r="B9" s="2" t="s">
        <v>7</v>
      </c>
      <c r="C9" s="7">
        <v>246428.16</v>
      </c>
      <c r="D9" s="4">
        <v>235851.96</v>
      </c>
      <c r="E9" s="4">
        <f>E10+E11+E15</f>
        <v>270066.74776320008</v>
      </c>
      <c r="F9" s="4">
        <f>F10+F11+F15</f>
        <v>285190.48563793924</v>
      </c>
      <c r="G9" s="4">
        <f t="shared" ref="G9:S9" si="3">G10+G11+G15</f>
        <v>298879.62894856033</v>
      </c>
      <c r="H9" s="4">
        <f t="shared" si="3"/>
        <v>312329.21225124551</v>
      </c>
      <c r="I9" s="4">
        <f t="shared" si="3"/>
        <v>325447.03916579788</v>
      </c>
      <c r="J9" s="4">
        <f t="shared" si="3"/>
        <v>338139.47369326401</v>
      </c>
      <c r="K9" s="4">
        <f t="shared" si="3"/>
        <v>350988.77369360806</v>
      </c>
      <c r="L9" s="4">
        <f t="shared" si="3"/>
        <v>363624.36954657797</v>
      </c>
      <c r="M9" s="4">
        <f t="shared" si="3"/>
        <v>376351.22248070815</v>
      </c>
      <c r="N9" s="4">
        <f t="shared" si="3"/>
        <v>389147.16404505225</v>
      </c>
      <c r="O9" s="4">
        <f t="shared" si="3"/>
        <v>401989.0204585389</v>
      </c>
      <c r="P9" s="4">
        <f t="shared" si="3"/>
        <v>414450.68009275361</v>
      </c>
      <c r="Q9" s="4">
        <f t="shared" si="3"/>
        <v>426469.74981544341</v>
      </c>
      <c r="R9" s="4">
        <f t="shared" si="3"/>
        <v>438410.9028102759</v>
      </c>
      <c r="S9" s="4">
        <f t="shared" si="3"/>
        <v>450641.25221242534</v>
      </c>
      <c r="T9" s="24"/>
    </row>
    <row r="10" spans="1:20" ht="19.5" customHeight="1">
      <c r="A10" s="2" t="s">
        <v>10</v>
      </c>
      <c r="B10" s="2" t="s">
        <v>7</v>
      </c>
      <c r="C10" s="7">
        <v>234532.26</v>
      </c>
      <c r="D10" s="4">
        <v>223690.89</v>
      </c>
      <c r="E10" s="4">
        <f>D10*E12</f>
        <v>240244.01586000004</v>
      </c>
      <c r="F10" s="4">
        <f>E10*F12</f>
        <v>253697.68074816006</v>
      </c>
      <c r="G10" s="4">
        <f t="shared" ref="G10:Q10" si="4">F10*G12</f>
        <v>265875.16942407173</v>
      </c>
      <c r="H10" s="4">
        <f t="shared" si="4"/>
        <v>277839.55204815493</v>
      </c>
      <c r="I10" s="4">
        <f t="shared" si="4"/>
        <v>289508.81323417748</v>
      </c>
      <c r="J10" s="4">
        <f t="shared" si="4"/>
        <v>300799.6569503104</v>
      </c>
      <c r="K10" s="4">
        <f t="shared" si="4"/>
        <v>312230.04391442222</v>
      </c>
      <c r="L10" s="4">
        <f t="shared" si="4"/>
        <v>323470.32549534144</v>
      </c>
      <c r="M10" s="4">
        <f t="shared" si="4"/>
        <v>334791.78688767838</v>
      </c>
      <c r="N10" s="4">
        <f t="shared" si="4"/>
        <v>346174.70764185942</v>
      </c>
      <c r="O10" s="4">
        <f t="shared" si="4"/>
        <v>357598.47299404076</v>
      </c>
      <c r="P10" s="4">
        <f t="shared" si="4"/>
        <v>368684.02565685601</v>
      </c>
      <c r="Q10" s="4">
        <f t="shared" si="4"/>
        <v>379375.86240090482</v>
      </c>
      <c r="R10" s="4">
        <f>Q10*R12</f>
        <v>389998.38654813019</v>
      </c>
      <c r="S10" s="4">
        <f>R10*S12</f>
        <v>400918.34137147787</v>
      </c>
      <c r="T10" s="24"/>
    </row>
    <row r="11" spans="1:20">
      <c r="A11" s="2" t="s">
        <v>9</v>
      </c>
      <c r="B11" s="2" t="s">
        <v>7</v>
      </c>
      <c r="C11" s="7">
        <v>895.9</v>
      </c>
      <c r="D11" s="4">
        <v>925</v>
      </c>
      <c r="E11" s="4">
        <f>D11*E12</f>
        <v>993.45</v>
      </c>
      <c r="F11" s="4">
        <f>E11*F12</f>
        <v>1049.0832</v>
      </c>
      <c r="G11" s="4">
        <f t="shared" ref="G11:R11" si="5">F11*G12</f>
        <v>1099.4391936000002</v>
      </c>
      <c r="H11" s="4">
        <f t="shared" si="5"/>
        <v>1148.9139573120001</v>
      </c>
      <c r="I11" s="4">
        <f t="shared" si="5"/>
        <v>1197.1683435191042</v>
      </c>
      <c r="J11" s="4">
        <f t="shared" si="5"/>
        <v>1243.8579089163491</v>
      </c>
      <c r="K11" s="4">
        <f t="shared" si="5"/>
        <v>1291.1245094551703</v>
      </c>
      <c r="L11" s="4">
        <f t="shared" si="5"/>
        <v>1337.6049917955563</v>
      </c>
      <c r="M11" s="4">
        <f t="shared" si="5"/>
        <v>1384.4211665084006</v>
      </c>
      <c r="N11" s="4">
        <f t="shared" si="5"/>
        <v>1431.4914861696861</v>
      </c>
      <c r="O11" s="4">
        <f t="shared" si="5"/>
        <v>1478.7307052132858</v>
      </c>
      <c r="P11" s="4">
        <f t="shared" si="5"/>
        <v>1524.5713570748976</v>
      </c>
      <c r="Q11" s="4">
        <f t="shared" si="5"/>
        <v>1568.7839264300694</v>
      </c>
      <c r="R11" s="4">
        <f t="shared" si="5"/>
        <v>1612.7098763701115</v>
      </c>
      <c r="S11" s="4">
        <f>Q11*S12</f>
        <v>1612.7098763701115</v>
      </c>
      <c r="T11" s="24"/>
    </row>
    <row r="12" spans="1:20" s="10" customFormat="1" ht="30">
      <c r="A12" s="8" t="s">
        <v>15</v>
      </c>
      <c r="B12" s="8" t="s">
        <v>5</v>
      </c>
      <c r="C12" s="9">
        <f>C10/224684.3</f>
        <v>1.0438302097654355</v>
      </c>
      <c r="D12" s="9">
        <f>D10/C10</f>
        <v>0.95377450419827103</v>
      </c>
      <c r="E12" s="15">
        <v>1.0740000000000001</v>
      </c>
      <c r="F12" s="15">
        <v>1.056</v>
      </c>
      <c r="G12" s="15">
        <v>1.048</v>
      </c>
      <c r="H12" s="15">
        <v>1.0449999999999999</v>
      </c>
      <c r="I12" s="15">
        <v>1.042</v>
      </c>
      <c r="J12" s="15">
        <v>1.0389999999999999</v>
      </c>
      <c r="K12" s="15">
        <v>1.038</v>
      </c>
      <c r="L12" s="15">
        <v>1.036</v>
      </c>
      <c r="M12" s="15">
        <v>1.0349999999999999</v>
      </c>
      <c r="N12" s="15">
        <v>1.034</v>
      </c>
      <c r="O12" s="15">
        <v>1.0329999999999999</v>
      </c>
      <c r="P12" s="15">
        <v>1.0309999999999999</v>
      </c>
      <c r="Q12" s="15">
        <v>1.0289999999999999</v>
      </c>
      <c r="R12" s="15">
        <v>1.028</v>
      </c>
      <c r="S12" s="15">
        <v>1.028</v>
      </c>
      <c r="T12" s="25"/>
    </row>
    <row r="13" spans="1:20" s="14" customFormat="1" ht="23.25" customHeight="1">
      <c r="A13" s="12" t="s">
        <v>6</v>
      </c>
      <c r="B13" s="12" t="s">
        <v>7</v>
      </c>
      <c r="C13" s="13">
        <v>11000</v>
      </c>
      <c r="D13" s="13">
        <v>0</v>
      </c>
      <c r="E13" s="23">
        <f>E10*0.07</f>
        <v>16817.081110200004</v>
      </c>
      <c r="F13" s="33">
        <f t="shared" ref="F13:S13" si="6">F10*0.07</f>
        <v>17758.837652371207</v>
      </c>
      <c r="G13" s="33">
        <f t="shared" si="6"/>
        <v>18611.261859685023</v>
      </c>
      <c r="H13" s="33">
        <f t="shared" si="6"/>
        <v>19448.768643370848</v>
      </c>
      <c r="I13" s="33">
        <f t="shared" si="6"/>
        <v>20265.616926392424</v>
      </c>
      <c r="J13" s="33">
        <f t="shared" si="6"/>
        <v>21055.975986521731</v>
      </c>
      <c r="K13" s="33">
        <f t="shared" si="6"/>
        <v>21856.103074009556</v>
      </c>
      <c r="L13" s="33">
        <f t="shared" si="6"/>
        <v>22642.922784673905</v>
      </c>
      <c r="M13" s="33">
        <f t="shared" si="6"/>
        <v>23435.425082137488</v>
      </c>
      <c r="N13" s="33">
        <f t="shared" si="6"/>
        <v>24232.22953493016</v>
      </c>
      <c r="O13" s="33">
        <f t="shared" si="6"/>
        <v>25031.893109582856</v>
      </c>
      <c r="P13" s="33">
        <f t="shared" si="6"/>
        <v>25807.881795979923</v>
      </c>
      <c r="Q13" s="33">
        <f t="shared" si="6"/>
        <v>26556.310368063339</v>
      </c>
      <c r="R13" s="33">
        <f t="shared" si="6"/>
        <v>27299.887058369117</v>
      </c>
      <c r="S13" s="33">
        <f t="shared" si="6"/>
        <v>28064.283896003453</v>
      </c>
      <c r="T13" s="26"/>
    </row>
    <row r="14" spans="1:20" s="14" customFormat="1" ht="28.5" customHeight="1">
      <c r="A14" s="12" t="s">
        <v>12</v>
      </c>
      <c r="B14" s="12" t="s">
        <v>7</v>
      </c>
      <c r="C14" s="13">
        <v>0</v>
      </c>
      <c r="D14" s="13">
        <v>11236.07</v>
      </c>
      <c r="E14" s="13">
        <f>E10*0.05</f>
        <v>12012.200793000004</v>
      </c>
      <c r="F14" s="13">
        <f t="shared" ref="F14:S14" si="7">F10*0.05</f>
        <v>12684.884037408003</v>
      </c>
      <c r="G14" s="13">
        <f t="shared" si="7"/>
        <v>13293.758471203588</v>
      </c>
      <c r="H14" s="13">
        <f t="shared" si="7"/>
        <v>13891.977602407747</v>
      </c>
      <c r="I14" s="13">
        <f t="shared" si="7"/>
        <v>14475.440661708875</v>
      </c>
      <c r="J14" s="13">
        <f t="shared" si="7"/>
        <v>15039.982847515521</v>
      </c>
      <c r="K14" s="13">
        <f t="shared" si="7"/>
        <v>15611.502195721112</v>
      </c>
      <c r="L14" s="13">
        <f t="shared" si="7"/>
        <v>16173.516274767073</v>
      </c>
      <c r="M14" s="13">
        <f t="shared" si="7"/>
        <v>16739.58934438392</v>
      </c>
      <c r="N14" s="13">
        <f t="shared" si="7"/>
        <v>17308.735382092971</v>
      </c>
      <c r="O14" s="13">
        <f t="shared" si="7"/>
        <v>17879.923649702039</v>
      </c>
      <c r="P14" s="13">
        <f t="shared" si="7"/>
        <v>18434.201282842801</v>
      </c>
      <c r="Q14" s="13">
        <f>Q10*0.05</f>
        <v>18968.79312004524</v>
      </c>
      <c r="R14" s="13">
        <f>R10*0.05</f>
        <v>19499.919327406511</v>
      </c>
      <c r="S14" s="13">
        <f t="shared" si="7"/>
        <v>20045.917068573894</v>
      </c>
      <c r="T14" s="26"/>
    </row>
    <row r="15" spans="1:20" s="18" customFormat="1" ht="20.25" customHeight="1">
      <c r="A15" s="16" t="s">
        <v>13</v>
      </c>
      <c r="B15" s="16" t="s">
        <v>7</v>
      </c>
      <c r="C15" s="35">
        <f>C13+C14</f>
        <v>11000</v>
      </c>
      <c r="D15" s="35">
        <f>D13+D14</f>
        <v>11236.07</v>
      </c>
      <c r="E15" s="28">
        <f>E13+E14</f>
        <v>28829.281903200008</v>
      </c>
      <c r="F15" s="28">
        <f t="shared" ref="F15:R15" si="8">F13+F14</f>
        <v>30443.72168977921</v>
      </c>
      <c r="G15" s="28">
        <f t="shared" si="8"/>
        <v>31905.020330888612</v>
      </c>
      <c r="H15" s="28">
        <f t="shared" si="8"/>
        <v>33340.746245778595</v>
      </c>
      <c r="I15" s="28">
        <f t="shared" si="8"/>
        <v>34741.057588101299</v>
      </c>
      <c r="J15" s="28">
        <f t="shared" si="8"/>
        <v>36095.95883403725</v>
      </c>
      <c r="K15" s="28">
        <f t="shared" si="8"/>
        <v>37467.605269730666</v>
      </c>
      <c r="L15" s="28">
        <f t="shared" si="8"/>
        <v>38816.439059440978</v>
      </c>
      <c r="M15" s="28">
        <f t="shared" si="8"/>
        <v>40175.014426521404</v>
      </c>
      <c r="N15" s="28">
        <f t="shared" si="8"/>
        <v>41540.964917023128</v>
      </c>
      <c r="O15" s="28">
        <f t="shared" si="8"/>
        <v>42911.816759284891</v>
      </c>
      <c r="P15" s="28">
        <f t="shared" si="8"/>
        <v>44242.083078822725</v>
      </c>
      <c r="Q15" s="28">
        <f t="shared" si="8"/>
        <v>45525.10348810858</v>
      </c>
      <c r="R15" s="28">
        <f t="shared" si="8"/>
        <v>46799.806385775628</v>
      </c>
      <c r="S15" s="28">
        <f>S13+S14</f>
        <v>48110.200964577351</v>
      </c>
      <c r="T15" s="29">
        <f>SUM(E15:S15)</f>
        <v>580944.82094107044</v>
      </c>
    </row>
    <row r="16" spans="1:20" s="21" customFormat="1" ht="25.5" customHeight="1">
      <c r="A16" s="34" t="s">
        <v>23</v>
      </c>
      <c r="B16" s="19" t="s">
        <v>5</v>
      </c>
      <c r="C16" s="20">
        <f>C15/C10</f>
        <v>4.6901863308697916E-2</v>
      </c>
      <c r="D16" s="20">
        <f>D15/D10</f>
        <v>5.0230342415822117E-2</v>
      </c>
      <c r="E16" s="32">
        <f>E15/E10</f>
        <v>0.12000000000000001</v>
      </c>
      <c r="F16" s="32">
        <f t="shared" ref="F16:R16" si="9">F15/F10</f>
        <v>0.12000000000000001</v>
      </c>
      <c r="G16" s="32">
        <f t="shared" si="9"/>
        <v>0.12000000000000001</v>
      </c>
      <c r="H16" s="32">
        <f t="shared" si="9"/>
        <v>0.12000000000000001</v>
      </c>
      <c r="I16" s="32">
        <f t="shared" si="9"/>
        <v>0.12000000000000001</v>
      </c>
      <c r="J16" s="32">
        <f t="shared" si="9"/>
        <v>0.12000000000000001</v>
      </c>
      <c r="K16" s="32">
        <f t="shared" si="9"/>
        <v>0.12</v>
      </c>
      <c r="L16" s="32">
        <f t="shared" si="9"/>
        <v>0.12000000000000001</v>
      </c>
      <c r="M16" s="32">
        <f t="shared" si="9"/>
        <v>0.12</v>
      </c>
      <c r="N16" s="32">
        <f t="shared" si="9"/>
        <v>0.12</v>
      </c>
      <c r="O16" s="32">
        <f t="shared" si="9"/>
        <v>0.12</v>
      </c>
      <c r="P16" s="32">
        <f t="shared" si="9"/>
        <v>0.12000000000000001</v>
      </c>
      <c r="Q16" s="32">
        <f t="shared" si="9"/>
        <v>0.12000000000000001</v>
      </c>
      <c r="R16" s="32">
        <f t="shared" si="9"/>
        <v>0.12000000000000001</v>
      </c>
      <c r="S16" s="32">
        <f>S15/S10</f>
        <v>0.12000000000000001</v>
      </c>
      <c r="T16" s="27"/>
    </row>
    <row r="17" spans="1:20">
      <c r="A17" s="2"/>
      <c r="B17" s="2"/>
      <c r="C17" s="7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24"/>
    </row>
    <row r="18" spans="1:20">
      <c r="A18" s="22" t="s">
        <v>19</v>
      </c>
      <c r="B18" s="7"/>
      <c r="C18" s="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24"/>
    </row>
    <row r="19" spans="1:20">
      <c r="A19" s="2" t="s">
        <v>20</v>
      </c>
      <c r="B19" s="2" t="s">
        <v>1</v>
      </c>
      <c r="C19" s="7">
        <v>19.55</v>
      </c>
      <c r="D19" s="4">
        <v>21.19</v>
      </c>
      <c r="E19" s="4">
        <f>E22/E21</f>
        <v>24.264300460621271</v>
      </c>
      <c r="F19" s="4">
        <f t="shared" ref="F19:S19" si="10">F22/F21</f>
        <v>25.623101286416066</v>
      </c>
      <c r="G19" s="4">
        <f t="shared" si="10"/>
        <v>26.853010148164039</v>
      </c>
      <c r="H19" s="4">
        <f t="shared" si="10"/>
        <v>28.061395604831418</v>
      </c>
      <c r="I19" s="4">
        <f t="shared" si="10"/>
        <v>29.239974220234338</v>
      </c>
      <c r="J19" s="4">
        <f t="shared" si="10"/>
        <v>30.380333214823469</v>
      </c>
      <c r="K19" s="4">
        <f t="shared" si="10"/>
        <v>31.534785876986767</v>
      </c>
      <c r="L19" s="4">
        <f t="shared" si="10"/>
        <v>32.670038168558293</v>
      </c>
      <c r="M19" s="4">
        <f t="shared" si="10"/>
        <v>33.813489504457834</v>
      </c>
      <c r="N19" s="4">
        <f t="shared" si="10"/>
        <v>34.963148147609402</v>
      </c>
      <c r="O19" s="4">
        <f t="shared" si="10"/>
        <v>36.116932036480506</v>
      </c>
      <c r="P19" s="4">
        <f t="shared" si="10"/>
        <v>37.236556929611403</v>
      </c>
      <c r="Q19" s="4">
        <f t="shared" si="10"/>
        <v>38.316417080570119</v>
      </c>
      <c r="R19" s="4">
        <f t="shared" si="10"/>
        <v>39.389276758826092</v>
      </c>
      <c r="S19" s="4">
        <f t="shared" si="10"/>
        <v>40.489312118479461</v>
      </c>
      <c r="T19" s="24"/>
    </row>
    <row r="20" spans="1:20" s="10" customFormat="1">
      <c r="A20" s="8" t="s">
        <v>14</v>
      </c>
      <c r="B20" s="8" t="s">
        <v>5</v>
      </c>
      <c r="C20" s="9">
        <v>1.0429999999999999</v>
      </c>
      <c r="D20" s="9">
        <f>D19/C19</f>
        <v>1.0838874680306905</v>
      </c>
      <c r="E20" s="11">
        <f>E19/D19</f>
        <v>1.1450826078632028</v>
      </c>
      <c r="F20" s="11">
        <f t="shared" ref="F20" si="11">F19/E19</f>
        <v>1.056</v>
      </c>
      <c r="G20" s="11">
        <f t="shared" ref="G20" si="12">G19/F19</f>
        <v>1.048</v>
      </c>
      <c r="H20" s="11">
        <f t="shared" ref="H20" si="13">H19/G19</f>
        <v>1.0449999999999999</v>
      </c>
      <c r="I20" s="11">
        <f t="shared" ref="I20" si="14">I19/H19</f>
        <v>1.042</v>
      </c>
      <c r="J20" s="15">
        <f>J19/I19</f>
        <v>1.0389999999999997</v>
      </c>
      <c r="K20" s="15">
        <f t="shared" ref="K20" si="15">K19/J19</f>
        <v>1.0380000000000003</v>
      </c>
      <c r="L20" s="15">
        <f t="shared" ref="L20" si="16">L19/K19</f>
        <v>1.036</v>
      </c>
      <c r="M20" s="15">
        <f t="shared" ref="M20" si="17">M19/L19</f>
        <v>1.0350000000000001</v>
      </c>
      <c r="N20" s="15">
        <f t="shared" ref="N20" si="18">N19/M19</f>
        <v>1.034</v>
      </c>
      <c r="O20" s="15">
        <f t="shared" ref="O20" si="19">O19/N19</f>
        <v>1.0329999999999999</v>
      </c>
      <c r="P20" s="15">
        <f t="shared" ref="P20" si="20">P19/O19</f>
        <v>1.0310000000000001</v>
      </c>
      <c r="Q20" s="15">
        <f t="shared" ref="Q20" si="21">Q19/P19</f>
        <v>1.0289999999999997</v>
      </c>
      <c r="R20" s="15">
        <f t="shared" ref="R20" si="22">R19/Q19</f>
        <v>1.0280000000000002</v>
      </c>
      <c r="S20" s="15">
        <f t="shared" ref="S20" si="23">S19/R19</f>
        <v>1.0279272799647656</v>
      </c>
      <c r="T20" s="25"/>
    </row>
    <row r="21" spans="1:20">
      <c r="A21" s="2" t="s">
        <v>3</v>
      </c>
      <c r="B21" s="2" t="s">
        <v>4</v>
      </c>
      <c r="C21" s="7">
        <v>10133</v>
      </c>
      <c r="D21" s="4">
        <v>9561</v>
      </c>
      <c r="E21" s="4">
        <v>9561</v>
      </c>
      <c r="F21" s="4">
        <v>9561</v>
      </c>
      <c r="G21" s="4">
        <v>9561</v>
      </c>
      <c r="H21" s="4">
        <v>9561</v>
      </c>
      <c r="I21" s="4">
        <v>9561</v>
      </c>
      <c r="J21" s="4">
        <v>9561</v>
      </c>
      <c r="K21" s="4">
        <v>9561</v>
      </c>
      <c r="L21" s="4">
        <v>9561</v>
      </c>
      <c r="M21" s="4">
        <v>9561</v>
      </c>
      <c r="N21" s="4">
        <v>9561</v>
      </c>
      <c r="O21" s="4">
        <v>9561</v>
      </c>
      <c r="P21" s="4">
        <v>9561</v>
      </c>
      <c r="Q21" s="4">
        <v>9561</v>
      </c>
      <c r="R21" s="4">
        <v>9561</v>
      </c>
      <c r="S21" s="4">
        <v>9561</v>
      </c>
      <c r="T21" s="24"/>
    </row>
    <row r="22" spans="1:20">
      <c r="A22" s="2" t="s">
        <v>8</v>
      </c>
      <c r="B22" s="2" t="s">
        <v>7</v>
      </c>
      <c r="C22" s="7">
        <v>198100.15</v>
      </c>
      <c r="D22" s="4">
        <v>202597.59</v>
      </c>
      <c r="E22" s="4">
        <f>E23+E24+E28</f>
        <v>231990.97670399997</v>
      </c>
      <c r="F22" s="4">
        <f>F23+F24+F28</f>
        <v>244982.47139942402</v>
      </c>
      <c r="G22" s="4">
        <f t="shared" ref="G22" si="24">G23+G24+G28</f>
        <v>256741.63002659637</v>
      </c>
      <c r="H22" s="4">
        <f t="shared" ref="H22" si="25">H23+H24+H28</f>
        <v>268295.00337779318</v>
      </c>
      <c r="I22" s="4">
        <f t="shared" ref="I22" si="26">I23+I24+I28</f>
        <v>279563.39351966052</v>
      </c>
      <c r="J22" s="4">
        <f t="shared" ref="J22" si="27">J23+J24+J28</f>
        <v>290466.3658669272</v>
      </c>
      <c r="K22" s="4">
        <f t="shared" ref="K22" si="28">K23+K24+K28</f>
        <v>301504.08776987047</v>
      </c>
      <c r="L22" s="4">
        <f t="shared" ref="L22" si="29">L23+L24+L28</f>
        <v>312358.23492958583</v>
      </c>
      <c r="M22" s="4">
        <f t="shared" ref="M22" si="30">M23+M24+M28</f>
        <v>323290.77315212134</v>
      </c>
      <c r="N22" s="4">
        <f t="shared" ref="N22" si="31">N23+N24+N28</f>
        <v>334282.65943929349</v>
      </c>
      <c r="O22" s="4">
        <f t="shared" ref="O22" si="32">O23+O24+O28</f>
        <v>345313.98720079008</v>
      </c>
      <c r="P22" s="4">
        <f t="shared" ref="P22" si="33">P23+P24+P28</f>
        <v>356018.72080401459</v>
      </c>
      <c r="Q22" s="4">
        <f t="shared" ref="Q22" si="34">Q23+Q24+Q28</f>
        <v>366343.26370733092</v>
      </c>
      <c r="R22" s="4">
        <f t="shared" ref="R22" si="35">R23+R24+R28</f>
        <v>376600.87509113626</v>
      </c>
      <c r="S22" s="4">
        <f t="shared" ref="S22" si="36">S23+S24+S28</f>
        <v>387118.31316478213</v>
      </c>
      <c r="T22" s="24"/>
    </row>
    <row r="23" spans="1:20" ht="19.5" customHeight="1">
      <c r="A23" s="2" t="s">
        <v>10</v>
      </c>
      <c r="B23" s="2" t="s">
        <v>7</v>
      </c>
      <c r="C23" s="13">
        <f>C22-C24-C26</f>
        <v>189582.65</v>
      </c>
      <c r="D23" s="4">
        <f>D22-D24-D28</f>
        <v>192362.05</v>
      </c>
      <c r="E23" s="4">
        <f>D23*E25</f>
        <v>206596.84169999999</v>
      </c>
      <c r="F23" s="4">
        <f>E23*F25</f>
        <v>218166.26483520001</v>
      </c>
      <c r="G23" s="4">
        <f t="shared" ref="G23:Q23" si="37">F23*G25</f>
        <v>228638.24554728961</v>
      </c>
      <c r="H23" s="4">
        <f t="shared" si="37"/>
        <v>238926.96659691763</v>
      </c>
      <c r="I23" s="4">
        <f t="shared" si="37"/>
        <v>248961.89919398818</v>
      </c>
      <c r="J23" s="4">
        <f t="shared" si="37"/>
        <v>258671.41326255369</v>
      </c>
      <c r="K23" s="4">
        <f t="shared" si="37"/>
        <v>268500.92696653074</v>
      </c>
      <c r="L23" s="4">
        <f t="shared" si="37"/>
        <v>278166.96033732587</v>
      </c>
      <c r="M23" s="4">
        <f t="shared" si="37"/>
        <v>287902.80394913227</v>
      </c>
      <c r="N23" s="4">
        <f t="shared" si="37"/>
        <v>297691.49928340275</v>
      </c>
      <c r="O23" s="4">
        <f t="shared" si="37"/>
        <v>307515.318759755</v>
      </c>
      <c r="P23" s="4">
        <f t="shared" si="37"/>
        <v>317048.29364130739</v>
      </c>
      <c r="Q23" s="4">
        <f t="shared" si="37"/>
        <v>326242.69415690529</v>
      </c>
      <c r="R23" s="4">
        <f>Q23*R25</f>
        <v>335377.48959329864</v>
      </c>
      <c r="S23" s="4">
        <f>R23*S25</f>
        <v>344768.05930191104</v>
      </c>
      <c r="T23" s="24"/>
    </row>
    <row r="24" spans="1:20" ht="30">
      <c r="A24" s="2" t="s">
        <v>21</v>
      </c>
      <c r="B24" s="2" t="s">
        <v>7</v>
      </c>
      <c r="C24" s="7">
        <v>2217.5</v>
      </c>
      <c r="D24" s="4">
        <v>561</v>
      </c>
      <c r="E24" s="4">
        <f>D24*E25</f>
        <v>602.51400000000001</v>
      </c>
      <c r="F24" s="4">
        <f>E24*F25</f>
        <v>636.25478400000009</v>
      </c>
      <c r="G24" s="4">
        <f t="shared" ref="G24:R24" si="38">F24*G25</f>
        <v>666.79501363200006</v>
      </c>
      <c r="H24" s="4">
        <f t="shared" si="38"/>
        <v>696.80078924544</v>
      </c>
      <c r="I24" s="4">
        <f t="shared" si="38"/>
        <v>726.06642239374855</v>
      </c>
      <c r="J24" s="4">
        <f t="shared" si="38"/>
        <v>754.38301286710464</v>
      </c>
      <c r="K24" s="4">
        <f t="shared" si="38"/>
        <v>783.04956735605469</v>
      </c>
      <c r="L24" s="4">
        <f t="shared" si="38"/>
        <v>811.23935178087265</v>
      </c>
      <c r="M24" s="4">
        <f t="shared" si="38"/>
        <v>839.63272909320312</v>
      </c>
      <c r="N24" s="4">
        <f t="shared" si="38"/>
        <v>868.180241882372</v>
      </c>
      <c r="O24" s="4">
        <f t="shared" si="38"/>
        <v>896.83018986449019</v>
      </c>
      <c r="P24" s="4">
        <f t="shared" si="38"/>
        <v>924.63192575028927</v>
      </c>
      <c r="Q24" s="4">
        <f t="shared" si="38"/>
        <v>951.44625159704754</v>
      </c>
      <c r="R24" s="4">
        <f t="shared" si="38"/>
        <v>978.08674664176488</v>
      </c>
      <c r="S24" s="4">
        <f>Q24*S25</f>
        <v>978.08674664176488</v>
      </c>
      <c r="T24" s="24"/>
    </row>
    <row r="25" spans="1:20" s="10" customFormat="1" ht="30">
      <c r="A25" s="8" t="s">
        <v>15</v>
      </c>
      <c r="B25" s="8" t="s">
        <v>5</v>
      </c>
      <c r="C25" s="9">
        <f>C23/181163.8</f>
        <v>1.0464709285188321</v>
      </c>
      <c r="D25" s="9">
        <f>D23/C23</f>
        <v>1.014660624271261</v>
      </c>
      <c r="E25" s="15">
        <v>1.0740000000000001</v>
      </c>
      <c r="F25" s="15">
        <v>1.056</v>
      </c>
      <c r="G25" s="15">
        <v>1.048</v>
      </c>
      <c r="H25" s="15">
        <v>1.0449999999999999</v>
      </c>
      <c r="I25" s="15">
        <v>1.042</v>
      </c>
      <c r="J25" s="15">
        <v>1.0389999999999999</v>
      </c>
      <c r="K25" s="15">
        <v>1.038</v>
      </c>
      <c r="L25" s="15">
        <v>1.036</v>
      </c>
      <c r="M25" s="15">
        <v>1.0349999999999999</v>
      </c>
      <c r="N25" s="15">
        <v>1.034</v>
      </c>
      <c r="O25" s="15">
        <v>1.0329999999999999</v>
      </c>
      <c r="P25" s="15">
        <v>1.0309999999999999</v>
      </c>
      <c r="Q25" s="15">
        <v>1.0289999999999999</v>
      </c>
      <c r="R25" s="15">
        <v>1.028</v>
      </c>
      <c r="S25" s="15">
        <v>1.028</v>
      </c>
      <c r="T25" s="25"/>
    </row>
    <row r="26" spans="1:20" s="14" customFormat="1" ht="23.25" customHeight="1">
      <c r="A26" s="12" t="s">
        <v>6</v>
      </c>
      <c r="B26" s="12" t="s">
        <v>7</v>
      </c>
      <c r="C26" s="13">
        <v>6300</v>
      </c>
      <c r="D26" s="13">
        <v>0</v>
      </c>
      <c r="E26" s="23">
        <f>E23*0.07</f>
        <v>14461.778919</v>
      </c>
      <c r="F26" s="33">
        <f t="shared" ref="F26:S26" si="39">F23*0.07</f>
        <v>15271.638538464002</v>
      </c>
      <c r="G26" s="33">
        <f t="shared" si="39"/>
        <v>16004.677188310274</v>
      </c>
      <c r="H26" s="33">
        <f t="shared" si="39"/>
        <v>16724.887661784236</v>
      </c>
      <c r="I26" s="33">
        <f t="shared" si="39"/>
        <v>17427.332943579175</v>
      </c>
      <c r="J26" s="33">
        <f t="shared" si="39"/>
        <v>18106.998928378758</v>
      </c>
      <c r="K26" s="33">
        <f t="shared" si="39"/>
        <v>18795.064887657154</v>
      </c>
      <c r="L26" s="33">
        <f t="shared" si="39"/>
        <v>19471.687223612815</v>
      </c>
      <c r="M26" s="33">
        <f t="shared" si="39"/>
        <v>20153.196276439259</v>
      </c>
      <c r="N26" s="33">
        <f t="shared" si="39"/>
        <v>20838.404949838194</v>
      </c>
      <c r="O26" s="33">
        <f t="shared" si="39"/>
        <v>21526.072313182853</v>
      </c>
      <c r="P26" s="33">
        <f t="shared" si="39"/>
        <v>22193.380554891519</v>
      </c>
      <c r="Q26" s="33">
        <f t="shared" si="39"/>
        <v>22836.988590983372</v>
      </c>
      <c r="R26" s="33">
        <f t="shared" si="39"/>
        <v>23476.424271530908</v>
      </c>
      <c r="S26" s="33">
        <f t="shared" si="39"/>
        <v>24133.764151133775</v>
      </c>
      <c r="T26" s="26"/>
    </row>
    <row r="27" spans="1:20" s="14" customFormat="1" ht="25.5" customHeight="1">
      <c r="A27" s="12" t="s">
        <v>12</v>
      </c>
      <c r="B27" s="12" t="s">
        <v>7</v>
      </c>
      <c r="C27" s="13">
        <v>0</v>
      </c>
      <c r="D27" s="13">
        <v>9674.5400000000009</v>
      </c>
      <c r="E27" s="13">
        <f>E23*0.05</f>
        <v>10329.842085</v>
      </c>
      <c r="F27" s="13">
        <f t="shared" ref="F27:P27" si="40">F23*0.05</f>
        <v>10908.313241760001</v>
      </c>
      <c r="G27" s="13">
        <f t="shared" si="40"/>
        <v>11431.912277364481</v>
      </c>
      <c r="H27" s="13">
        <f t="shared" si="40"/>
        <v>11946.348329845881</v>
      </c>
      <c r="I27" s="13">
        <f t="shared" si="40"/>
        <v>12448.094959699411</v>
      </c>
      <c r="J27" s="13">
        <f t="shared" si="40"/>
        <v>12933.570663127684</v>
      </c>
      <c r="K27" s="13">
        <f t="shared" si="40"/>
        <v>13425.046348326538</v>
      </c>
      <c r="L27" s="13">
        <f t="shared" si="40"/>
        <v>13908.348016866294</v>
      </c>
      <c r="M27" s="13">
        <f t="shared" si="40"/>
        <v>14395.140197456614</v>
      </c>
      <c r="N27" s="13">
        <f t="shared" si="40"/>
        <v>14884.574964170139</v>
      </c>
      <c r="O27" s="13">
        <f t="shared" si="40"/>
        <v>15375.765937987751</v>
      </c>
      <c r="P27" s="13">
        <f t="shared" si="40"/>
        <v>15852.41468206537</v>
      </c>
      <c r="Q27" s="13">
        <f>Q23*0.05</f>
        <v>16312.134707845265</v>
      </c>
      <c r="R27" s="13">
        <f>R23*0.05</f>
        <v>16768.874479664933</v>
      </c>
      <c r="S27" s="13">
        <f t="shared" ref="S27" si="41">S23*0.05</f>
        <v>17238.402965095553</v>
      </c>
      <c r="T27" s="26"/>
    </row>
    <row r="28" spans="1:20" s="18" customFormat="1" ht="28.5" customHeight="1">
      <c r="A28" s="16" t="s">
        <v>13</v>
      </c>
      <c r="B28" s="16" t="s">
        <v>7</v>
      </c>
      <c r="C28" s="35">
        <f>C26+C27</f>
        <v>6300</v>
      </c>
      <c r="D28" s="35">
        <f>D26+D27</f>
        <v>9674.5400000000009</v>
      </c>
      <c r="E28" s="28">
        <f>E26+E27</f>
        <v>24791.621004000001</v>
      </c>
      <c r="F28" s="28">
        <f t="shared" ref="F28:R28" si="42">F26+F27</f>
        <v>26179.951780224001</v>
      </c>
      <c r="G28" s="28">
        <f t="shared" si="42"/>
        <v>27436.589465674755</v>
      </c>
      <c r="H28" s="28">
        <f t="shared" si="42"/>
        <v>28671.235991630117</v>
      </c>
      <c r="I28" s="28">
        <f t="shared" si="42"/>
        <v>29875.427903278585</v>
      </c>
      <c r="J28" s="28">
        <f t="shared" si="42"/>
        <v>31040.569591506443</v>
      </c>
      <c r="K28" s="28">
        <f t="shared" si="42"/>
        <v>32220.111235983692</v>
      </c>
      <c r="L28" s="28">
        <f t="shared" si="42"/>
        <v>33380.035240479105</v>
      </c>
      <c r="M28" s="28">
        <f t="shared" si="42"/>
        <v>34548.336473895877</v>
      </c>
      <c r="N28" s="28">
        <f t="shared" si="42"/>
        <v>35722.979914008334</v>
      </c>
      <c r="O28" s="28">
        <f t="shared" si="42"/>
        <v>36901.8382511706</v>
      </c>
      <c r="P28" s="28">
        <f t="shared" si="42"/>
        <v>38045.795236956888</v>
      </c>
      <c r="Q28" s="28">
        <f t="shared" si="42"/>
        <v>39149.123298828636</v>
      </c>
      <c r="R28" s="28">
        <f t="shared" si="42"/>
        <v>40245.298751195842</v>
      </c>
      <c r="S28" s="28">
        <f>S26+S27</f>
        <v>41372.167116229328</v>
      </c>
      <c r="T28" s="29">
        <f>SUM(E28:S28)</f>
        <v>499581.08125506219</v>
      </c>
    </row>
    <row r="29" spans="1:20" s="21" customFormat="1" ht="25.5" customHeight="1">
      <c r="A29" s="34" t="s">
        <v>23</v>
      </c>
      <c r="B29" s="19" t="s">
        <v>5</v>
      </c>
      <c r="C29" s="20">
        <f>C28/C23</f>
        <v>3.3230889008039499E-2</v>
      </c>
      <c r="D29" s="20">
        <f>D28/D23</f>
        <v>5.0293392069797556E-2</v>
      </c>
      <c r="E29" s="32">
        <f>E28/E23</f>
        <v>0.12000000000000001</v>
      </c>
      <c r="F29" s="32">
        <f t="shared" ref="F29:R29" si="43">F28/F23</f>
        <v>0.12</v>
      </c>
      <c r="G29" s="32">
        <f t="shared" si="43"/>
        <v>0.12000000000000001</v>
      </c>
      <c r="H29" s="32">
        <f t="shared" si="43"/>
        <v>0.12000000000000001</v>
      </c>
      <c r="I29" s="32">
        <f t="shared" si="43"/>
        <v>0.12000000000000001</v>
      </c>
      <c r="J29" s="32">
        <f t="shared" si="43"/>
        <v>0.12</v>
      </c>
      <c r="K29" s="32">
        <f t="shared" si="43"/>
        <v>0.12000000000000001</v>
      </c>
      <c r="L29" s="32">
        <f t="shared" si="43"/>
        <v>0.12</v>
      </c>
      <c r="M29" s="32">
        <f t="shared" si="43"/>
        <v>0.12000000000000001</v>
      </c>
      <c r="N29" s="32">
        <f t="shared" si="43"/>
        <v>0.12000000000000001</v>
      </c>
      <c r="O29" s="32">
        <f t="shared" si="43"/>
        <v>0.12</v>
      </c>
      <c r="P29" s="32">
        <f t="shared" si="43"/>
        <v>0.12000000000000001</v>
      </c>
      <c r="Q29" s="32">
        <f t="shared" si="43"/>
        <v>0.12000000000000001</v>
      </c>
      <c r="R29" s="32">
        <f t="shared" si="43"/>
        <v>0.12000000000000001</v>
      </c>
      <c r="S29" s="32">
        <f>S28/S23</f>
        <v>0.12000000000000001</v>
      </c>
      <c r="T29" s="27"/>
    </row>
    <row r="31" spans="1:20" ht="30">
      <c r="A31" s="30" t="s">
        <v>25</v>
      </c>
      <c r="B31" s="30" t="s">
        <v>7</v>
      </c>
      <c r="C31" s="36">
        <f t="shared" ref="C31:D31" si="44">C15+C28</f>
        <v>17300</v>
      </c>
      <c r="D31" s="36">
        <f t="shared" si="44"/>
        <v>20910.61</v>
      </c>
      <c r="E31" s="31">
        <f>E15+E28</f>
        <v>53620.902907200012</v>
      </c>
      <c r="F31" s="31">
        <f t="shared" ref="F31:S31" si="45">F15+F28</f>
        <v>56623.67347000321</v>
      </c>
      <c r="G31" s="31">
        <f t="shared" si="45"/>
        <v>59341.609796563367</v>
      </c>
      <c r="H31" s="31">
        <f t="shared" si="45"/>
        <v>62011.982237408709</v>
      </c>
      <c r="I31" s="31">
        <f t="shared" si="45"/>
        <v>64616.485491379884</v>
      </c>
      <c r="J31" s="31">
        <f t="shared" si="45"/>
        <v>67136.528425543685</v>
      </c>
      <c r="K31" s="31">
        <f t="shared" si="45"/>
        <v>69687.716505714357</v>
      </c>
      <c r="L31" s="31">
        <f t="shared" si="45"/>
        <v>72196.474299920083</v>
      </c>
      <c r="M31" s="31">
        <f t="shared" si="45"/>
        <v>74723.350900417281</v>
      </c>
      <c r="N31" s="31">
        <f t="shared" si="45"/>
        <v>77263.944831031462</v>
      </c>
      <c r="O31" s="31">
        <f t="shared" si="45"/>
        <v>79813.655010455492</v>
      </c>
      <c r="P31" s="31">
        <f t="shared" si="45"/>
        <v>82287.878315779613</v>
      </c>
      <c r="Q31" s="31">
        <f t="shared" si="45"/>
        <v>84674.226786937215</v>
      </c>
      <c r="R31" s="31">
        <f t="shared" si="45"/>
        <v>87045.10513697147</v>
      </c>
      <c r="S31" s="31">
        <f t="shared" si="45"/>
        <v>89482.368080806686</v>
      </c>
      <c r="T31" s="29">
        <f>SUM(E31:S31)</f>
        <v>1080525.9021961326</v>
      </c>
    </row>
  </sheetData>
  <mergeCells count="21">
    <mergeCell ref="T3:T4"/>
    <mergeCell ref="M3:M4"/>
    <mergeCell ref="N3:N4"/>
    <mergeCell ref="O3:O4"/>
    <mergeCell ref="P3:P4"/>
    <mergeCell ref="Q3:Q4"/>
    <mergeCell ref="R3:R4"/>
    <mergeCell ref="L3:L4"/>
    <mergeCell ref="A1:S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U80"/>
  <sheetViews>
    <sheetView tabSelected="1" zoomScale="85" zoomScaleNormal="85" workbookViewId="0">
      <pane xSplit="2" ySplit="5" topLeftCell="F58" activePane="bottomRight" state="frozen"/>
      <selection pane="topRight" activeCell="C1" sqref="C1"/>
      <selection pane="bottomLeft" activeCell="A5" sqref="A5"/>
      <selection pane="bottomRight" sqref="A1:T80"/>
    </sheetView>
  </sheetViews>
  <sheetFormatPr defaultRowHeight="15"/>
  <cols>
    <col min="1" max="1" width="47.140625" customWidth="1"/>
    <col min="2" max="2" width="10.5703125" bestFit="1" customWidth="1"/>
    <col min="3" max="3" width="9.5703125" bestFit="1" customWidth="1"/>
    <col min="4" max="4" width="10.5703125" customWidth="1"/>
    <col min="5" max="5" width="11.28515625" customWidth="1"/>
    <col min="6" max="6" width="11.85546875" customWidth="1"/>
    <col min="7" max="7" width="10.85546875" customWidth="1"/>
    <col min="8" max="8" width="11.5703125" customWidth="1"/>
    <col min="9" max="9" width="11.85546875" customWidth="1"/>
    <col min="10" max="10" width="10.85546875" customWidth="1"/>
    <col min="11" max="12" width="10.42578125" customWidth="1"/>
    <col min="13" max="13" width="10.85546875" customWidth="1"/>
    <col min="14" max="14" width="10.7109375" customWidth="1"/>
    <col min="15" max="15" width="11.7109375" customWidth="1"/>
    <col min="16" max="16" width="10.5703125" customWidth="1"/>
    <col min="17" max="17" width="10.42578125" customWidth="1"/>
    <col min="18" max="18" width="11.5703125" customWidth="1"/>
    <col min="19" max="19" width="10.85546875" customWidth="1"/>
    <col min="20" max="20" width="11" customWidth="1"/>
    <col min="21" max="21" width="10.7109375" customWidth="1"/>
  </cols>
  <sheetData>
    <row r="1" spans="1:20">
      <c r="Q1" s="140" t="s">
        <v>60</v>
      </c>
      <c r="R1" s="140"/>
      <c r="S1" s="140"/>
      <c r="T1" s="140"/>
    </row>
    <row r="2" spans="1:20" ht="15.75">
      <c r="A2" s="141" t="s">
        <v>37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</row>
    <row r="3" spans="1:20">
      <c r="A3" s="13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0">
      <c r="A4" s="142" t="s">
        <v>24</v>
      </c>
      <c r="B4" s="142" t="s">
        <v>0</v>
      </c>
      <c r="C4" s="142" t="s">
        <v>46</v>
      </c>
      <c r="D4" s="142" t="s">
        <v>47</v>
      </c>
      <c r="E4" s="144">
        <v>2016</v>
      </c>
      <c r="F4" s="144">
        <v>2017</v>
      </c>
      <c r="G4" s="144">
        <v>2018</v>
      </c>
      <c r="H4" s="144">
        <v>2019</v>
      </c>
      <c r="I4" s="144">
        <v>2020</v>
      </c>
      <c r="J4" s="144">
        <v>2021</v>
      </c>
      <c r="K4" s="144">
        <v>2022</v>
      </c>
      <c r="L4" s="144">
        <v>2023</v>
      </c>
      <c r="M4" s="144">
        <v>2024</v>
      </c>
      <c r="N4" s="144">
        <v>2025</v>
      </c>
      <c r="O4" s="144">
        <v>2026</v>
      </c>
      <c r="P4" s="144">
        <v>2027</v>
      </c>
      <c r="Q4" s="144">
        <v>2028</v>
      </c>
      <c r="R4" s="144">
        <v>2029</v>
      </c>
      <c r="S4" s="144">
        <v>2030</v>
      </c>
      <c r="T4" s="146" t="s">
        <v>18</v>
      </c>
    </row>
    <row r="5" spans="1:20" ht="22.5" customHeight="1" thickBot="1">
      <c r="A5" s="143"/>
      <c r="B5" s="143"/>
      <c r="C5" s="143"/>
      <c r="D5" s="143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7"/>
    </row>
    <row r="6" spans="1:20" ht="15.75" thickBot="1">
      <c r="A6" s="122" t="s">
        <v>16</v>
      </c>
      <c r="B6" s="123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4"/>
    </row>
    <row r="7" spans="1:20">
      <c r="A7" s="125" t="s">
        <v>38</v>
      </c>
      <c r="B7" s="126" t="s">
        <v>1</v>
      </c>
      <c r="C7" s="43">
        <v>15.36</v>
      </c>
      <c r="D7" s="127">
        <v>16.95</v>
      </c>
      <c r="E7" s="127">
        <f>E10/E9</f>
        <v>19.430059333795974</v>
      </c>
      <c r="F7" s="127">
        <f t="shared" ref="F7:S7" si="0">F10/F9</f>
        <v>20.420992359819568</v>
      </c>
      <c r="G7" s="127">
        <f t="shared" si="0"/>
        <v>21.401199993090902</v>
      </c>
      <c r="H7" s="127">
        <f t="shared" si="0"/>
        <v>22.36425399278</v>
      </c>
      <c r="I7" s="127">
        <f t="shared" si="0"/>
        <v>23.303552660476758</v>
      </c>
      <c r="J7" s="127">
        <f t="shared" si="0"/>
        <v>24.212391214235353</v>
      </c>
      <c r="K7" s="127">
        <f t="shared" si="0"/>
        <v>25.132462080376303</v>
      </c>
      <c r="L7" s="127">
        <f t="shared" si="0"/>
        <v>26.037230715269843</v>
      </c>
      <c r="M7" s="127">
        <f t="shared" si="0"/>
        <v>26.948533790304285</v>
      </c>
      <c r="N7" s="127">
        <f t="shared" si="0"/>
        <v>27.864783939174632</v>
      </c>
      <c r="O7" s="127">
        <f t="shared" si="0"/>
        <v>28.784321809167395</v>
      </c>
      <c r="P7" s="127">
        <f t="shared" si="0"/>
        <v>29.676635785251587</v>
      </c>
      <c r="Q7" s="127">
        <f t="shared" si="0"/>
        <v>30.537258223023876</v>
      </c>
      <c r="R7" s="127">
        <f t="shared" si="0"/>
        <v>31.392301453268551</v>
      </c>
      <c r="S7" s="127">
        <f t="shared" si="0"/>
        <v>32.271285893960069</v>
      </c>
      <c r="T7" s="98"/>
    </row>
    <row r="8" spans="1:20">
      <c r="A8" s="50" t="s">
        <v>39</v>
      </c>
      <c r="B8" s="51" t="s">
        <v>5</v>
      </c>
      <c r="C8" s="52">
        <v>1.04</v>
      </c>
      <c r="D8" s="52">
        <f>D7/C7</f>
        <v>1.103515625</v>
      </c>
      <c r="E8" s="133">
        <f>E7/D7</f>
        <v>1.1463161848847183</v>
      </c>
      <c r="F8" s="52">
        <f t="shared" ref="F8:I8" si="1">F7/E7</f>
        <v>1.0509999999999999</v>
      </c>
      <c r="G8" s="52">
        <f t="shared" si="1"/>
        <v>1.0479999999999998</v>
      </c>
      <c r="H8" s="52">
        <f t="shared" si="1"/>
        <v>1.0450000000000004</v>
      </c>
      <c r="I8" s="52">
        <f t="shared" si="1"/>
        <v>1.0419999999999998</v>
      </c>
      <c r="J8" s="52">
        <f>J7/I7</f>
        <v>1.0390000000000001</v>
      </c>
      <c r="K8" s="52">
        <f t="shared" ref="K8:S8" si="2">K7/J7</f>
        <v>1.0380000000000003</v>
      </c>
      <c r="L8" s="52">
        <f t="shared" si="2"/>
        <v>1.0359999999999996</v>
      </c>
      <c r="M8" s="52">
        <f t="shared" si="2"/>
        <v>1.0349999999999999</v>
      </c>
      <c r="N8" s="52">
        <f t="shared" si="2"/>
        <v>1.034</v>
      </c>
      <c r="O8" s="52">
        <f t="shared" si="2"/>
        <v>1.0329999999999999</v>
      </c>
      <c r="P8" s="52">
        <f t="shared" si="2"/>
        <v>1.0310000000000001</v>
      </c>
      <c r="Q8" s="52">
        <f t="shared" si="2"/>
        <v>1.0289999999999997</v>
      </c>
      <c r="R8" s="52">
        <f t="shared" si="2"/>
        <v>1.0280000000000002</v>
      </c>
      <c r="S8" s="52">
        <f t="shared" si="2"/>
        <v>1.028</v>
      </c>
      <c r="T8" s="53"/>
    </row>
    <row r="9" spans="1:20">
      <c r="A9" s="45" t="s">
        <v>40</v>
      </c>
      <c r="B9" s="46" t="s">
        <v>4</v>
      </c>
      <c r="C9" s="47">
        <v>16043.5</v>
      </c>
      <c r="D9" s="48">
        <v>13914.57</v>
      </c>
      <c r="E9" s="48">
        <v>13833.6</v>
      </c>
      <c r="F9" s="48">
        <v>13833.6</v>
      </c>
      <c r="G9" s="48">
        <v>13833.6</v>
      </c>
      <c r="H9" s="48">
        <v>13833.6</v>
      </c>
      <c r="I9" s="48">
        <v>13833.6</v>
      </c>
      <c r="J9" s="48">
        <v>13833.6</v>
      </c>
      <c r="K9" s="48">
        <v>13833.6</v>
      </c>
      <c r="L9" s="48">
        <v>13833.6</v>
      </c>
      <c r="M9" s="48">
        <v>13833.6</v>
      </c>
      <c r="N9" s="48">
        <v>13833.6</v>
      </c>
      <c r="O9" s="48">
        <v>13833.6</v>
      </c>
      <c r="P9" s="48">
        <v>13833.6</v>
      </c>
      <c r="Q9" s="48">
        <v>13833.6</v>
      </c>
      <c r="R9" s="48">
        <v>13833.6</v>
      </c>
      <c r="S9" s="48">
        <v>13833.6</v>
      </c>
      <c r="T9" s="49"/>
    </row>
    <row r="10" spans="1:20">
      <c r="A10" s="45" t="s">
        <v>70</v>
      </c>
      <c r="B10" s="46" t="s">
        <v>7</v>
      </c>
      <c r="C10" s="47">
        <v>246428.16</v>
      </c>
      <c r="D10" s="48">
        <v>235851.96</v>
      </c>
      <c r="E10" s="48">
        <f>E13+E14+E18</f>
        <v>268787.66879999998</v>
      </c>
      <c r="F10" s="48">
        <f t="shared" ref="F10:S10" si="3">F13+F14+F18</f>
        <v>282495.83990879997</v>
      </c>
      <c r="G10" s="48">
        <f t="shared" si="3"/>
        <v>296055.64022442233</v>
      </c>
      <c r="H10" s="48">
        <f t="shared" si="3"/>
        <v>309378.14403452142</v>
      </c>
      <c r="I10" s="48">
        <f t="shared" si="3"/>
        <v>322372.02608397126</v>
      </c>
      <c r="J10" s="48">
        <f>J13+J14+J18</f>
        <v>334944.53510124621</v>
      </c>
      <c r="K10" s="48">
        <f t="shared" si="3"/>
        <v>347672.42743509362</v>
      </c>
      <c r="L10" s="48">
        <f t="shared" si="3"/>
        <v>360188.63482275693</v>
      </c>
      <c r="M10" s="48">
        <f t="shared" si="3"/>
        <v>372795.23704155337</v>
      </c>
      <c r="N10" s="48">
        <f t="shared" si="3"/>
        <v>385470.27510096622</v>
      </c>
      <c r="O10" s="48">
        <f t="shared" si="3"/>
        <v>398190.7941792981</v>
      </c>
      <c r="P10" s="48">
        <f t="shared" si="3"/>
        <v>410534.70879885636</v>
      </c>
      <c r="Q10" s="48">
        <f t="shared" si="3"/>
        <v>422440.21535402309</v>
      </c>
      <c r="R10" s="48">
        <f t="shared" si="3"/>
        <v>434268.54138393584</v>
      </c>
      <c r="S10" s="48">
        <f t="shared" si="3"/>
        <v>446428.06054268603</v>
      </c>
      <c r="T10" s="49"/>
    </row>
    <row r="11" spans="1:20" ht="30" customHeight="1">
      <c r="A11" s="45" t="s">
        <v>41</v>
      </c>
      <c r="B11" s="46" t="s">
        <v>7</v>
      </c>
      <c r="C11" s="47">
        <f>234532.26-2973.98</f>
        <v>231558.28</v>
      </c>
      <c r="D11" s="48">
        <v>223690.89</v>
      </c>
      <c r="E11" s="48">
        <v>232788.99</v>
      </c>
      <c r="F11" s="48">
        <f>E11*F15</f>
        <v>244661.22848999998</v>
      </c>
      <c r="G11" s="48">
        <f>F11*G15</f>
        <v>256404.96745751999</v>
      </c>
      <c r="H11" s="48">
        <f t="shared" ref="H11:S11" si="4">G11*H15</f>
        <v>267943.19099310838</v>
      </c>
      <c r="I11" s="48">
        <f t="shared" si="4"/>
        <v>279196.80501481896</v>
      </c>
      <c r="J11" s="48">
        <f t="shared" si="4"/>
        <v>290085.48041039688</v>
      </c>
      <c r="K11" s="48">
        <f t="shared" si="4"/>
        <v>301108.72866599198</v>
      </c>
      <c r="L11" s="48">
        <f t="shared" si="4"/>
        <v>311948.64289796771</v>
      </c>
      <c r="M11" s="48">
        <f t="shared" si="4"/>
        <v>322866.84539939655</v>
      </c>
      <c r="N11" s="48">
        <f t="shared" si="4"/>
        <v>333844.31814297603</v>
      </c>
      <c r="O11" s="48">
        <f t="shared" si="4"/>
        <v>344861.18064169423</v>
      </c>
      <c r="P11" s="48">
        <f t="shared" si="4"/>
        <v>355551.87724158674</v>
      </c>
      <c r="Q11" s="48">
        <f t="shared" si="4"/>
        <v>365862.88168159273</v>
      </c>
      <c r="R11" s="48">
        <f t="shared" si="4"/>
        <v>376107.04236867733</v>
      </c>
      <c r="S11" s="48">
        <f t="shared" si="4"/>
        <v>386638.03955500032</v>
      </c>
      <c r="T11" s="49"/>
    </row>
    <row r="12" spans="1:20" ht="22.5" customHeight="1">
      <c r="A12" s="45" t="s">
        <v>42</v>
      </c>
      <c r="B12" s="46" t="s">
        <v>7</v>
      </c>
      <c r="C12" s="47">
        <v>2973.98</v>
      </c>
      <c r="D12" s="48">
        <v>0</v>
      </c>
      <c r="E12" s="48">
        <v>7200</v>
      </c>
      <c r="F12" s="48">
        <f>E12*F15</f>
        <v>7567.2</v>
      </c>
      <c r="G12" s="48">
        <f t="shared" ref="G12:S12" si="5">F12*G15</f>
        <v>7930.4256000000005</v>
      </c>
      <c r="H12" s="48">
        <f t="shared" si="5"/>
        <v>8287.2947519999998</v>
      </c>
      <c r="I12" s="48">
        <f t="shared" si="5"/>
        <v>8635.3611315840008</v>
      </c>
      <c r="J12" s="48">
        <f t="shared" si="5"/>
        <v>8972.1402157157754</v>
      </c>
      <c r="K12" s="48">
        <f t="shared" si="5"/>
        <v>9313.0815439129747</v>
      </c>
      <c r="L12" s="48">
        <f t="shared" si="5"/>
        <v>9648.3524794938421</v>
      </c>
      <c r="M12" s="48">
        <f t="shared" si="5"/>
        <v>9986.0448162761259</v>
      </c>
      <c r="N12" s="48">
        <f t="shared" si="5"/>
        <v>10325.570340029515</v>
      </c>
      <c r="O12" s="48">
        <f t="shared" si="5"/>
        <v>10666.314161250488</v>
      </c>
      <c r="P12" s="48">
        <f t="shared" si="5"/>
        <v>10996.969900249253</v>
      </c>
      <c r="Q12" s="48">
        <f t="shared" si="5"/>
        <v>11315.88202735648</v>
      </c>
      <c r="R12" s="48">
        <f t="shared" si="5"/>
        <v>11632.726724122462</v>
      </c>
      <c r="S12" s="48">
        <f t="shared" si="5"/>
        <v>11958.443072397891</v>
      </c>
      <c r="T12" s="49"/>
    </row>
    <row r="13" spans="1:20" s="39" customFormat="1" ht="24.75" customHeight="1">
      <c r="A13" s="54" t="s">
        <v>61</v>
      </c>
      <c r="B13" s="55" t="s">
        <v>7</v>
      </c>
      <c r="C13" s="56">
        <f>SUM(C11:C12)</f>
        <v>234532.26</v>
      </c>
      <c r="D13" s="57">
        <f>SUM(D11:D12)</f>
        <v>223690.89</v>
      </c>
      <c r="E13" s="57">
        <f>SUM(E11:E12)</f>
        <v>239988.99</v>
      </c>
      <c r="F13" s="57">
        <f>SUM(F11:F12)</f>
        <v>252228.42848999999</v>
      </c>
      <c r="G13" s="57">
        <f t="shared" ref="G13:S13" si="6">SUM(G11:G12)</f>
        <v>264335.39305751998</v>
      </c>
      <c r="H13" s="57">
        <f t="shared" si="6"/>
        <v>276230.4857451084</v>
      </c>
      <c r="I13" s="57">
        <f t="shared" si="6"/>
        <v>287832.16614640295</v>
      </c>
      <c r="J13" s="57">
        <f t="shared" si="6"/>
        <v>299057.62062611268</v>
      </c>
      <c r="K13" s="57">
        <f t="shared" si="6"/>
        <v>310421.81020990497</v>
      </c>
      <c r="L13" s="57">
        <f t="shared" si="6"/>
        <v>321596.99537746154</v>
      </c>
      <c r="M13" s="57">
        <f t="shared" si="6"/>
        <v>332852.89021567267</v>
      </c>
      <c r="N13" s="57">
        <f t="shared" si="6"/>
        <v>344169.88848300552</v>
      </c>
      <c r="O13" s="57">
        <f t="shared" si="6"/>
        <v>355527.49480294471</v>
      </c>
      <c r="P13" s="57">
        <f t="shared" si="6"/>
        <v>366548.84714183601</v>
      </c>
      <c r="Q13" s="57">
        <f t="shared" si="6"/>
        <v>377178.76370894921</v>
      </c>
      <c r="R13" s="57">
        <f t="shared" si="6"/>
        <v>387739.7690927998</v>
      </c>
      <c r="S13" s="57">
        <f t="shared" si="6"/>
        <v>398596.48262739822</v>
      </c>
      <c r="T13" s="58"/>
    </row>
    <row r="14" spans="1:20">
      <c r="A14" s="45" t="s">
        <v>43</v>
      </c>
      <c r="B14" s="46" t="s">
        <v>7</v>
      </c>
      <c r="C14" s="47">
        <v>895.9</v>
      </c>
      <c r="D14" s="48">
        <v>925</v>
      </c>
      <c r="E14" s="48">
        <v>971.25</v>
      </c>
      <c r="F14" s="48">
        <f>E14*F15</f>
        <v>1020.7837499999999</v>
      </c>
      <c r="G14" s="48">
        <f t="shared" ref="G14:S14" si="7">F14*G15</f>
        <v>1069.7813699999999</v>
      </c>
      <c r="H14" s="48">
        <f t="shared" si="7"/>
        <v>1117.9215316499999</v>
      </c>
      <c r="I14" s="48">
        <f t="shared" si="7"/>
        <v>1164.8742359793</v>
      </c>
      <c r="J14" s="48">
        <f t="shared" si="7"/>
        <v>1210.3043311824927</v>
      </c>
      <c r="K14" s="48">
        <f t="shared" si="7"/>
        <v>1256.2958957674275</v>
      </c>
      <c r="L14" s="48">
        <f t="shared" si="7"/>
        <v>1301.522548015055</v>
      </c>
      <c r="M14" s="48">
        <f t="shared" si="7"/>
        <v>1347.0758371955819</v>
      </c>
      <c r="N14" s="48">
        <f t="shared" si="7"/>
        <v>1392.8764156602317</v>
      </c>
      <c r="O14" s="48">
        <f t="shared" si="7"/>
        <v>1438.8413373770193</v>
      </c>
      <c r="P14" s="48">
        <f t="shared" si="7"/>
        <v>1483.4454188357067</v>
      </c>
      <c r="Q14" s="48">
        <f t="shared" si="7"/>
        <v>1526.4653359819422</v>
      </c>
      <c r="R14" s="48">
        <f t="shared" si="7"/>
        <v>1569.2063653894365</v>
      </c>
      <c r="S14" s="48">
        <f t="shared" si="7"/>
        <v>1613.1441436203409</v>
      </c>
      <c r="T14" s="129"/>
    </row>
    <row r="15" spans="1:20" ht="24" customHeight="1">
      <c r="A15" s="50" t="s">
        <v>44</v>
      </c>
      <c r="B15" s="51" t="s">
        <v>5</v>
      </c>
      <c r="C15" s="52">
        <f>C11/224684.3</f>
        <v>1.0305939489319014</v>
      </c>
      <c r="D15" s="52">
        <f>D11/C11</f>
        <v>0.96602414735504172</v>
      </c>
      <c r="E15" s="52">
        <f>E11/D11</f>
        <v>1.0406726442905205</v>
      </c>
      <c r="F15" s="52">
        <v>1.0509999999999999</v>
      </c>
      <c r="G15" s="52">
        <v>1.048</v>
      </c>
      <c r="H15" s="52">
        <v>1.0449999999999999</v>
      </c>
      <c r="I15" s="52">
        <v>1.042</v>
      </c>
      <c r="J15" s="52">
        <v>1.0389999999999999</v>
      </c>
      <c r="K15" s="52">
        <v>1.038</v>
      </c>
      <c r="L15" s="52">
        <v>1.036</v>
      </c>
      <c r="M15" s="52">
        <v>1.0349999999999999</v>
      </c>
      <c r="N15" s="52">
        <v>1.034</v>
      </c>
      <c r="O15" s="52">
        <v>1.0329999999999999</v>
      </c>
      <c r="P15" s="52">
        <v>1.0309999999999999</v>
      </c>
      <c r="Q15" s="52">
        <v>1.0289999999999999</v>
      </c>
      <c r="R15" s="52">
        <v>1.028</v>
      </c>
      <c r="S15" s="52">
        <v>1.028</v>
      </c>
      <c r="T15" s="53"/>
    </row>
    <row r="16" spans="1:20" ht="24.75" customHeight="1">
      <c r="A16" s="59" t="s">
        <v>45</v>
      </c>
      <c r="B16" s="60" t="s">
        <v>7</v>
      </c>
      <c r="C16" s="61">
        <v>11000</v>
      </c>
      <c r="D16" s="61">
        <v>0</v>
      </c>
      <c r="E16" s="80">
        <f>E13*0.07-E14</f>
        <v>15827.979300000003</v>
      </c>
      <c r="F16" s="62">
        <f>F13*0.07-F14</f>
        <v>16635.206244300003</v>
      </c>
      <c r="G16" s="62">
        <f t="shared" ref="G16:S16" si="8">G13*0.07-G14</f>
        <v>17433.696144026399</v>
      </c>
      <c r="H16" s="62">
        <f t="shared" si="8"/>
        <v>18218.212470507588</v>
      </c>
      <c r="I16" s="62">
        <f t="shared" si="8"/>
        <v>18983.377394268908</v>
      </c>
      <c r="J16" s="62">
        <f t="shared" si="8"/>
        <v>19723.729112645397</v>
      </c>
      <c r="K16" s="62">
        <f t="shared" si="8"/>
        <v>20473.230818925924</v>
      </c>
      <c r="L16" s="62">
        <f t="shared" si="8"/>
        <v>21210.267128407257</v>
      </c>
      <c r="M16" s="62">
        <f t="shared" si="8"/>
        <v>21952.626477901507</v>
      </c>
      <c r="N16" s="62">
        <f t="shared" si="8"/>
        <v>22699.015778150158</v>
      </c>
      <c r="O16" s="62">
        <f t="shared" si="8"/>
        <v>23448.083298829111</v>
      </c>
      <c r="P16" s="62">
        <f t="shared" si="8"/>
        <v>24174.973881092817</v>
      </c>
      <c r="Q16" s="62">
        <f t="shared" si="8"/>
        <v>24876.048123644505</v>
      </c>
      <c r="R16" s="62">
        <f t="shared" si="8"/>
        <v>25572.577471106553</v>
      </c>
      <c r="S16" s="62">
        <f t="shared" si="8"/>
        <v>26288.609640297534</v>
      </c>
      <c r="T16" s="63"/>
    </row>
    <row r="17" spans="1:21" ht="24.75" customHeight="1">
      <c r="A17" s="59" t="s">
        <v>54</v>
      </c>
      <c r="B17" s="60" t="s">
        <v>7</v>
      </c>
      <c r="C17" s="61">
        <v>0</v>
      </c>
      <c r="D17" s="61">
        <v>11236.07</v>
      </c>
      <c r="E17" s="61">
        <f>E13*0.05</f>
        <v>11999.449500000001</v>
      </c>
      <c r="F17" s="61">
        <f>F13*0.05</f>
        <v>12611.4214245</v>
      </c>
      <c r="G17" s="61">
        <f t="shared" ref="G17:R17" si="9">G13*0.05</f>
        <v>13216.769652875999</v>
      </c>
      <c r="H17" s="61">
        <f t="shared" si="9"/>
        <v>13811.524287255421</v>
      </c>
      <c r="I17" s="61">
        <f t="shared" si="9"/>
        <v>14391.608307320148</v>
      </c>
      <c r="J17" s="61">
        <f t="shared" si="9"/>
        <v>14952.881031305635</v>
      </c>
      <c r="K17" s="61">
        <f t="shared" si="9"/>
        <v>15521.090510495249</v>
      </c>
      <c r="L17" s="61">
        <f t="shared" si="9"/>
        <v>16079.849768873079</v>
      </c>
      <c r="M17" s="61">
        <f t="shared" si="9"/>
        <v>16642.644510783633</v>
      </c>
      <c r="N17" s="61">
        <f t="shared" si="9"/>
        <v>17208.494424150278</v>
      </c>
      <c r="O17" s="61">
        <f t="shared" si="9"/>
        <v>17776.374740147236</v>
      </c>
      <c r="P17" s="61">
        <f t="shared" si="9"/>
        <v>18327.442357091801</v>
      </c>
      <c r="Q17" s="61">
        <f t="shared" si="9"/>
        <v>18858.93818544746</v>
      </c>
      <c r="R17" s="61">
        <f t="shared" si="9"/>
        <v>19386.988454639992</v>
      </c>
      <c r="S17" s="61">
        <f>S13*0.05</f>
        <v>19929.824131369911</v>
      </c>
      <c r="T17" s="63"/>
    </row>
    <row r="18" spans="1:21" ht="27.75" customHeight="1">
      <c r="A18" s="64" t="s">
        <v>48</v>
      </c>
      <c r="B18" s="65" t="s">
        <v>7</v>
      </c>
      <c r="C18" s="61">
        <f>C16+C17</f>
        <v>11000</v>
      </c>
      <c r="D18" s="61">
        <f>D16+D17</f>
        <v>11236.07</v>
      </c>
      <c r="E18" s="66">
        <f>E16+E17</f>
        <v>27827.428800000002</v>
      </c>
      <c r="F18" s="66">
        <f t="shared" ref="F18:R18" si="10">F16+F17</f>
        <v>29246.627668800003</v>
      </c>
      <c r="G18" s="66">
        <f t="shared" si="10"/>
        <v>30650.465796902397</v>
      </c>
      <c r="H18" s="66">
        <f t="shared" si="10"/>
        <v>32029.736757763007</v>
      </c>
      <c r="I18" s="66">
        <f t="shared" si="10"/>
        <v>33374.985701589059</v>
      </c>
      <c r="J18" s="66">
        <f>J16+J17</f>
        <v>34676.610143951031</v>
      </c>
      <c r="K18" s="66">
        <f t="shared" si="10"/>
        <v>35994.321329421175</v>
      </c>
      <c r="L18" s="66">
        <f t="shared" si="10"/>
        <v>37290.116897280335</v>
      </c>
      <c r="M18" s="66">
        <f t="shared" si="10"/>
        <v>38595.270988685137</v>
      </c>
      <c r="N18" s="66">
        <f t="shared" si="10"/>
        <v>39907.510202300437</v>
      </c>
      <c r="O18" s="66">
        <f t="shared" si="10"/>
        <v>41224.458038976343</v>
      </c>
      <c r="P18" s="66">
        <f t="shared" si="10"/>
        <v>42502.416238184618</v>
      </c>
      <c r="Q18" s="66">
        <f t="shared" si="10"/>
        <v>43734.986309091968</v>
      </c>
      <c r="R18" s="66">
        <f t="shared" si="10"/>
        <v>44959.565925746545</v>
      </c>
      <c r="S18" s="66">
        <f>S16+S17</f>
        <v>46218.433771667449</v>
      </c>
      <c r="T18" s="107">
        <f>SUM(E18:S18)</f>
        <v>558232.93457035953</v>
      </c>
    </row>
    <row r="19" spans="1:21" s="41" customFormat="1" ht="14.25" customHeight="1">
      <c r="A19" s="68" t="s">
        <v>49</v>
      </c>
      <c r="B19" s="69"/>
      <c r="C19" s="70"/>
      <c r="D19" s="70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2"/>
    </row>
    <row r="20" spans="1:21" s="41" customFormat="1" ht="27.75" customHeight="1">
      <c r="A20" s="68" t="s">
        <v>62</v>
      </c>
      <c r="B20" s="69" t="s">
        <v>7</v>
      </c>
      <c r="C20" s="70"/>
      <c r="D20" s="70"/>
      <c r="E20" s="105">
        <f>E36-E24</f>
        <v>27200</v>
      </c>
      <c r="F20" s="105">
        <f>F36-F25-F24</f>
        <v>24012.789999999994</v>
      </c>
      <c r="G20" s="105">
        <f t="shared" ref="G20:Q20" si="11">G36</f>
        <v>0</v>
      </c>
      <c r="H20" s="105">
        <f t="shared" si="11"/>
        <v>0</v>
      </c>
      <c r="I20" s="105">
        <f t="shared" si="11"/>
        <v>0</v>
      </c>
      <c r="J20" s="105">
        <f t="shared" si="11"/>
        <v>0</v>
      </c>
      <c r="K20" s="105">
        <f>K36-G24-H24-I24-J24-K24</f>
        <v>41379.4</v>
      </c>
      <c r="L20" s="105">
        <f>L36-L24</f>
        <v>21094.6</v>
      </c>
      <c r="M20" s="105">
        <f t="shared" si="11"/>
        <v>0</v>
      </c>
      <c r="N20" s="105">
        <f t="shared" si="11"/>
        <v>0</v>
      </c>
      <c r="O20" s="105">
        <f t="shared" si="11"/>
        <v>0</v>
      </c>
      <c r="P20" s="105">
        <f t="shared" si="11"/>
        <v>0</v>
      </c>
      <c r="Q20" s="105">
        <f t="shared" si="11"/>
        <v>0</v>
      </c>
      <c r="R20" s="105">
        <f>R36-M24-N24-O24-P24-Q24-R24</f>
        <v>107702.6</v>
      </c>
      <c r="S20" s="105">
        <f>S36-S24</f>
        <v>115471.16</v>
      </c>
      <c r="T20" s="106">
        <f>SUM(E20:S20)</f>
        <v>336860.55000000005</v>
      </c>
      <c r="U20" s="132"/>
    </row>
    <row r="21" spans="1:21" s="41" customFormat="1" ht="14.25" customHeight="1">
      <c r="A21" s="68" t="s">
        <v>50</v>
      </c>
      <c r="B21" s="69" t="s">
        <v>7</v>
      </c>
      <c r="C21" s="70"/>
      <c r="D21" s="70"/>
      <c r="E21" s="71">
        <f>E26+E27</f>
        <v>0</v>
      </c>
      <c r="F21" s="71">
        <f>F26+F27</f>
        <v>5635.5</v>
      </c>
      <c r="G21" s="71">
        <f t="shared" ref="G21:S21" si="12">G26+G27</f>
        <v>31492.5</v>
      </c>
      <c r="H21" s="71">
        <f t="shared" si="12"/>
        <v>27735.5</v>
      </c>
      <c r="I21" s="71">
        <f t="shared" si="12"/>
        <v>23978.5</v>
      </c>
      <c r="J21" s="71">
        <f t="shared" si="12"/>
        <v>0</v>
      </c>
      <c r="K21" s="71">
        <f t="shared" si="12"/>
        <v>0</v>
      </c>
      <c r="L21" s="71">
        <f t="shared" si="12"/>
        <v>0</v>
      </c>
      <c r="M21" s="71">
        <f t="shared" si="12"/>
        <v>0</v>
      </c>
      <c r="N21" s="71">
        <f t="shared" si="12"/>
        <v>0</v>
      </c>
      <c r="O21" s="71">
        <f t="shared" si="12"/>
        <v>0</v>
      </c>
      <c r="P21" s="71">
        <f t="shared" si="12"/>
        <v>0</v>
      </c>
      <c r="Q21" s="71">
        <f t="shared" si="12"/>
        <v>0</v>
      </c>
      <c r="R21" s="71">
        <f t="shared" si="12"/>
        <v>0</v>
      </c>
      <c r="S21" s="71">
        <f t="shared" si="12"/>
        <v>0</v>
      </c>
      <c r="T21" s="106">
        <f t="shared" ref="T21:T22" si="13">SUM(E21:S21)</f>
        <v>88842</v>
      </c>
    </row>
    <row r="22" spans="1:21" s="41" customFormat="1" ht="20.25" customHeight="1">
      <c r="A22" s="68" t="s">
        <v>63</v>
      </c>
      <c r="B22" s="69" t="s">
        <v>7</v>
      </c>
      <c r="C22" s="70"/>
      <c r="D22" s="70"/>
      <c r="E22" s="71"/>
      <c r="F22" s="71"/>
      <c r="G22" s="71"/>
      <c r="H22" s="71"/>
      <c r="I22" s="71"/>
      <c r="J22" s="71">
        <f>J17</f>
        <v>14952.881031305635</v>
      </c>
      <c r="K22" s="71">
        <f t="shared" ref="K22:P22" si="14">K17</f>
        <v>15521.090510495249</v>
      </c>
      <c r="L22" s="71">
        <f t="shared" si="14"/>
        <v>16079.849768873079</v>
      </c>
      <c r="M22" s="71">
        <f t="shared" si="14"/>
        <v>16642.644510783633</v>
      </c>
      <c r="N22" s="71">
        <f>N17+1200</f>
        <v>18408.494424150278</v>
      </c>
      <c r="O22" s="71">
        <f>O17-200</f>
        <v>17576.374740147236</v>
      </c>
      <c r="P22" s="71">
        <f t="shared" si="14"/>
        <v>18327.442357091801</v>
      </c>
      <c r="Q22" s="71">
        <f>Q17-2100</f>
        <v>16758.93818544746</v>
      </c>
      <c r="R22" s="71">
        <f>-900</f>
        <v>-900</v>
      </c>
      <c r="S22" s="71">
        <f>-1737.33+900</f>
        <v>-837.32999999999993</v>
      </c>
      <c r="T22" s="106">
        <f t="shared" si="13"/>
        <v>132530.38552829437</v>
      </c>
    </row>
    <row r="23" spans="1:21" ht="29.25" customHeight="1">
      <c r="A23" s="73" t="s">
        <v>55</v>
      </c>
      <c r="B23" s="74" t="s">
        <v>5</v>
      </c>
      <c r="C23" s="75">
        <f>(C18+C14)/C13</f>
        <v>5.0721806884903589E-2</v>
      </c>
      <c r="D23" s="75">
        <f>(D18+D14)/D13</f>
        <v>5.436551305240906E-2</v>
      </c>
      <c r="E23" s="75">
        <f t="shared" ref="E23:S23" si="15">(E18+E14)/E13</f>
        <v>0.12000000000000001</v>
      </c>
      <c r="F23" s="75">
        <f t="shared" si="15"/>
        <v>0.12000000000000001</v>
      </c>
      <c r="G23" s="75">
        <f t="shared" si="15"/>
        <v>0.12000000000000001</v>
      </c>
      <c r="H23" s="75">
        <f t="shared" si="15"/>
        <v>0.11999999999999998</v>
      </c>
      <c r="I23" s="75">
        <f t="shared" si="15"/>
        <v>0.12000000000000004</v>
      </c>
      <c r="J23" s="75">
        <f t="shared" si="15"/>
        <v>0.12000000000000001</v>
      </c>
      <c r="K23" s="75">
        <f t="shared" si="15"/>
        <v>0.12000000000000002</v>
      </c>
      <c r="L23" s="75">
        <f t="shared" si="15"/>
        <v>0.12000000000000001</v>
      </c>
      <c r="M23" s="75">
        <f t="shared" si="15"/>
        <v>0.12</v>
      </c>
      <c r="N23" s="75">
        <f t="shared" si="15"/>
        <v>0.12000000000000002</v>
      </c>
      <c r="O23" s="75">
        <f t="shared" si="15"/>
        <v>0.11999999999999998</v>
      </c>
      <c r="P23" s="75">
        <f t="shared" si="15"/>
        <v>0.12000000000000001</v>
      </c>
      <c r="Q23" s="75">
        <f t="shared" si="15"/>
        <v>0.12000000000000001</v>
      </c>
      <c r="R23" s="75">
        <f t="shared" si="15"/>
        <v>0.12000000000000001</v>
      </c>
      <c r="S23" s="75">
        <f t="shared" si="15"/>
        <v>0.12000000000000001</v>
      </c>
      <c r="T23" s="84"/>
    </row>
    <row r="24" spans="1:21" s="39" customFormat="1" ht="28.5" customHeight="1">
      <c r="A24" s="82" t="s">
        <v>64</v>
      </c>
      <c r="B24" s="79" t="s">
        <v>7</v>
      </c>
      <c r="C24" s="75"/>
      <c r="D24" s="75"/>
      <c r="E24" s="57">
        <v>1700</v>
      </c>
      <c r="F24" s="57">
        <v>1700</v>
      </c>
      <c r="G24" s="57">
        <v>1700</v>
      </c>
      <c r="H24" s="57">
        <v>1700</v>
      </c>
      <c r="I24" s="57">
        <v>1700</v>
      </c>
      <c r="J24" s="57">
        <v>1700</v>
      </c>
      <c r="K24" s="57">
        <v>1700</v>
      </c>
      <c r="L24" s="57">
        <v>1700</v>
      </c>
      <c r="M24" s="57">
        <v>1700</v>
      </c>
      <c r="N24" s="57">
        <v>1700</v>
      </c>
      <c r="O24" s="57">
        <v>1700</v>
      </c>
      <c r="P24" s="57">
        <v>1700</v>
      </c>
      <c r="Q24" s="57">
        <v>1700</v>
      </c>
      <c r="R24" s="57">
        <v>1700</v>
      </c>
      <c r="S24" s="57">
        <v>1700</v>
      </c>
      <c r="T24" s="114">
        <f>SUM(E24:S24)</f>
        <v>25500</v>
      </c>
    </row>
    <row r="25" spans="1:21" s="40" customFormat="1" ht="17.25" customHeight="1">
      <c r="A25" s="78" t="s">
        <v>32</v>
      </c>
      <c r="B25" s="79" t="s">
        <v>7</v>
      </c>
      <c r="C25" s="80"/>
      <c r="D25" s="80"/>
      <c r="E25" s="80"/>
      <c r="F25" s="80">
        <v>66300</v>
      </c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114">
        <f>SUM(F25:S25)</f>
        <v>66300</v>
      </c>
    </row>
    <row r="26" spans="1:21" s="40" customFormat="1" ht="17.25" customHeight="1">
      <c r="A26" s="78" t="s">
        <v>33</v>
      </c>
      <c r="B26" s="79" t="s">
        <v>7</v>
      </c>
      <c r="C26" s="80"/>
      <c r="D26" s="80"/>
      <c r="E26" s="80"/>
      <c r="F26" s="80">
        <f>(E28+F28)/2*0.17</f>
        <v>5635.5</v>
      </c>
      <c r="G26" s="80">
        <f>(F28+G28)/2*0.17</f>
        <v>9392.5</v>
      </c>
      <c r="H26" s="80">
        <f t="shared" ref="H26:S26" si="16">(G28+H28)/2*0.17</f>
        <v>5635.5</v>
      </c>
      <c r="I26" s="80">
        <f t="shared" si="16"/>
        <v>1878.5000000000002</v>
      </c>
      <c r="J26" s="80">
        <f t="shared" si="16"/>
        <v>0</v>
      </c>
      <c r="K26" s="80">
        <f t="shared" si="16"/>
        <v>0</v>
      </c>
      <c r="L26" s="80">
        <f t="shared" si="16"/>
        <v>0</v>
      </c>
      <c r="M26" s="80">
        <f t="shared" si="16"/>
        <v>0</v>
      </c>
      <c r="N26" s="80">
        <f t="shared" si="16"/>
        <v>0</v>
      </c>
      <c r="O26" s="80">
        <f t="shared" si="16"/>
        <v>0</v>
      </c>
      <c r="P26" s="80">
        <f t="shared" si="16"/>
        <v>0</v>
      </c>
      <c r="Q26" s="80">
        <f t="shared" si="16"/>
        <v>0</v>
      </c>
      <c r="R26" s="80">
        <f t="shared" si="16"/>
        <v>0</v>
      </c>
      <c r="S26" s="80">
        <f t="shared" si="16"/>
        <v>0</v>
      </c>
      <c r="T26" s="114">
        <f t="shared" ref="T26:T29" si="17">SUM(F26:S26)</f>
        <v>22542</v>
      </c>
    </row>
    <row r="27" spans="1:21" s="40" customFormat="1" ht="17.25" customHeight="1">
      <c r="A27" s="78" t="s">
        <v>34</v>
      </c>
      <c r="B27" s="79" t="s">
        <v>7</v>
      </c>
      <c r="C27" s="80"/>
      <c r="D27" s="80"/>
      <c r="E27" s="80"/>
      <c r="F27" s="80"/>
      <c r="G27" s="80">
        <v>22100</v>
      </c>
      <c r="H27" s="80">
        <v>22100</v>
      </c>
      <c r="I27" s="80">
        <v>22100</v>
      </c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114">
        <f t="shared" si="17"/>
        <v>66300</v>
      </c>
    </row>
    <row r="28" spans="1:21" s="39" customFormat="1" ht="15" customHeight="1">
      <c r="A28" s="82" t="s">
        <v>35</v>
      </c>
      <c r="B28" s="74" t="s">
        <v>7</v>
      </c>
      <c r="C28" s="75"/>
      <c r="D28" s="75"/>
      <c r="E28" s="57"/>
      <c r="F28" s="57">
        <f>F25-F27</f>
        <v>66300</v>
      </c>
      <c r="G28" s="57">
        <f>F28+G25-G27</f>
        <v>44200</v>
      </c>
      <c r="H28" s="57">
        <f>G28+H25-H27</f>
        <v>22100</v>
      </c>
      <c r="I28" s="57">
        <f t="shared" ref="I28:S28" si="18">H28+I25-I27</f>
        <v>0</v>
      </c>
      <c r="J28" s="57">
        <f t="shared" si="18"/>
        <v>0</v>
      </c>
      <c r="K28" s="57">
        <f t="shared" si="18"/>
        <v>0</v>
      </c>
      <c r="L28" s="57">
        <f t="shared" si="18"/>
        <v>0</v>
      </c>
      <c r="M28" s="57">
        <f t="shared" si="18"/>
        <v>0</v>
      </c>
      <c r="N28" s="57">
        <f t="shared" si="18"/>
        <v>0</v>
      </c>
      <c r="O28" s="57">
        <f t="shared" si="18"/>
        <v>0</v>
      </c>
      <c r="P28" s="57">
        <f t="shared" si="18"/>
        <v>0</v>
      </c>
      <c r="Q28" s="57">
        <f t="shared" si="18"/>
        <v>0</v>
      </c>
      <c r="R28" s="57">
        <f t="shared" si="18"/>
        <v>0</v>
      </c>
      <c r="S28" s="83">
        <f t="shared" si="18"/>
        <v>0</v>
      </c>
      <c r="T28" s="84"/>
    </row>
    <row r="29" spans="1:21" s="39" customFormat="1" ht="33.75" customHeight="1">
      <c r="A29" s="73" t="s">
        <v>51</v>
      </c>
      <c r="B29" s="111" t="s">
        <v>7</v>
      </c>
      <c r="C29" s="75"/>
      <c r="D29" s="75"/>
      <c r="E29" s="57"/>
      <c r="F29" s="57"/>
      <c r="G29" s="57"/>
      <c r="H29" s="57"/>
      <c r="I29" s="57"/>
      <c r="J29" s="85">
        <f>J22</f>
        <v>14952.881031305635</v>
      </c>
      <c r="K29" s="85">
        <f t="shared" ref="K29:S29" si="19">K22</f>
        <v>15521.090510495249</v>
      </c>
      <c r="L29" s="85">
        <f t="shared" si="19"/>
        <v>16079.849768873079</v>
      </c>
      <c r="M29" s="85">
        <f t="shared" si="19"/>
        <v>16642.644510783633</v>
      </c>
      <c r="N29" s="85">
        <f t="shared" si="19"/>
        <v>18408.494424150278</v>
      </c>
      <c r="O29" s="85">
        <f t="shared" si="19"/>
        <v>17576.374740147236</v>
      </c>
      <c r="P29" s="85">
        <f t="shared" si="19"/>
        <v>18327.442357091801</v>
      </c>
      <c r="Q29" s="85">
        <f t="shared" si="19"/>
        <v>16758.93818544746</v>
      </c>
      <c r="R29" s="85">
        <f t="shared" si="19"/>
        <v>-900</v>
      </c>
      <c r="S29" s="85">
        <f t="shared" si="19"/>
        <v>-837.32999999999993</v>
      </c>
      <c r="T29" s="130">
        <f t="shared" si="17"/>
        <v>132530.38552829437</v>
      </c>
    </row>
    <row r="30" spans="1:21" s="39" customFormat="1" ht="22.5" customHeight="1">
      <c r="A30" s="82" t="s">
        <v>29</v>
      </c>
      <c r="B30" s="74"/>
      <c r="C30" s="75"/>
      <c r="D30" s="75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84"/>
    </row>
    <row r="31" spans="1:21" s="39" customFormat="1" ht="21" customHeight="1">
      <c r="A31" s="86" t="s">
        <v>65</v>
      </c>
      <c r="B31" s="111" t="s">
        <v>7</v>
      </c>
      <c r="C31" s="57"/>
      <c r="D31" s="57"/>
      <c r="E31" s="87"/>
      <c r="F31" s="87"/>
      <c r="G31" s="87"/>
      <c r="H31" s="87"/>
      <c r="I31" s="87"/>
      <c r="J31" s="87"/>
      <c r="K31" s="87">
        <v>49879.4</v>
      </c>
      <c r="L31" s="87">
        <v>22794.6</v>
      </c>
      <c r="M31" s="87"/>
      <c r="N31" s="87"/>
      <c r="O31" s="87"/>
      <c r="P31" s="87"/>
      <c r="Q31" s="87"/>
      <c r="R31" s="87">
        <f>117902.6-10921</f>
        <v>106981.6</v>
      </c>
      <c r="S31" s="87">
        <v>117171.16</v>
      </c>
      <c r="T31" s="84">
        <f t="shared" ref="T31:T35" si="20">SUM(E31:S31)</f>
        <v>296826.76</v>
      </c>
    </row>
    <row r="32" spans="1:21" s="39" customFormat="1" ht="48.75" customHeight="1">
      <c r="A32" s="88" t="s">
        <v>66</v>
      </c>
      <c r="B32" s="111" t="s">
        <v>7</v>
      </c>
      <c r="C32" s="57"/>
      <c r="D32" s="57"/>
      <c r="E32" s="87"/>
      <c r="F32" s="89">
        <v>92012.79</v>
      </c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4">
        <f t="shared" si="20"/>
        <v>92012.79</v>
      </c>
    </row>
    <row r="33" spans="1:20" s="39" customFormat="1" ht="23.25" customHeight="1">
      <c r="A33" s="88" t="s">
        <v>67</v>
      </c>
      <c r="B33" s="111" t="s">
        <v>7</v>
      </c>
      <c r="C33" s="57"/>
      <c r="D33" s="57"/>
      <c r="E33" s="87"/>
      <c r="F33" s="87"/>
      <c r="G33" s="87"/>
      <c r="H33" s="87"/>
      <c r="I33" s="90"/>
      <c r="J33" s="87"/>
      <c r="K33" s="87"/>
      <c r="L33" s="87"/>
      <c r="M33" s="87"/>
      <c r="N33" s="87"/>
      <c r="O33" s="87"/>
      <c r="P33" s="87"/>
      <c r="Q33" s="87"/>
      <c r="R33" s="89">
        <v>10921</v>
      </c>
      <c r="S33" s="87"/>
      <c r="T33" s="84">
        <f t="shared" si="20"/>
        <v>10921</v>
      </c>
    </row>
    <row r="34" spans="1:20" s="39" customFormat="1" ht="28.5" customHeight="1">
      <c r="A34" s="88" t="s">
        <v>68</v>
      </c>
      <c r="B34" s="111" t="s">
        <v>7</v>
      </c>
      <c r="C34" s="57"/>
      <c r="D34" s="57"/>
      <c r="E34" s="87">
        <v>12700</v>
      </c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4">
        <f t="shared" si="20"/>
        <v>12700</v>
      </c>
    </row>
    <row r="35" spans="1:20" s="39" customFormat="1" ht="48.75" customHeight="1">
      <c r="A35" s="88" t="s">
        <v>69</v>
      </c>
      <c r="B35" s="111" t="s">
        <v>7</v>
      </c>
      <c r="C35" s="57"/>
      <c r="D35" s="57"/>
      <c r="E35" s="87">
        <v>16200</v>
      </c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4">
        <f t="shared" si="20"/>
        <v>16200</v>
      </c>
    </row>
    <row r="36" spans="1:20" s="39" customFormat="1" ht="23.25" customHeight="1">
      <c r="A36" s="82" t="s">
        <v>30</v>
      </c>
      <c r="B36" s="74" t="s">
        <v>7</v>
      </c>
      <c r="C36" s="91">
        <f t="shared" ref="C36:T36" si="21">SUM(C31:C35)</f>
        <v>0</v>
      </c>
      <c r="D36" s="91">
        <f t="shared" si="21"/>
        <v>0</v>
      </c>
      <c r="E36" s="91">
        <f t="shared" si="21"/>
        <v>28900</v>
      </c>
      <c r="F36" s="91">
        <f t="shared" si="21"/>
        <v>92012.79</v>
      </c>
      <c r="G36" s="91">
        <f t="shared" si="21"/>
        <v>0</v>
      </c>
      <c r="H36" s="91">
        <f t="shared" si="21"/>
        <v>0</v>
      </c>
      <c r="I36" s="91">
        <f t="shared" si="21"/>
        <v>0</v>
      </c>
      <c r="J36" s="91">
        <f t="shared" si="21"/>
        <v>0</v>
      </c>
      <c r="K36" s="91">
        <f t="shared" si="21"/>
        <v>49879.4</v>
      </c>
      <c r="L36" s="91">
        <f t="shared" si="21"/>
        <v>22794.6</v>
      </c>
      <c r="M36" s="91">
        <f t="shared" si="21"/>
        <v>0</v>
      </c>
      <c r="N36" s="91">
        <f t="shared" si="21"/>
        <v>0</v>
      </c>
      <c r="O36" s="91">
        <f t="shared" si="21"/>
        <v>0</v>
      </c>
      <c r="P36" s="91">
        <f t="shared" si="21"/>
        <v>0</v>
      </c>
      <c r="Q36" s="91">
        <f t="shared" si="21"/>
        <v>0</v>
      </c>
      <c r="R36" s="91">
        <f t="shared" si="21"/>
        <v>117902.6</v>
      </c>
      <c r="S36" s="91">
        <f t="shared" si="21"/>
        <v>117171.16</v>
      </c>
      <c r="T36" s="92">
        <f t="shared" si="21"/>
        <v>428660.55</v>
      </c>
    </row>
    <row r="37" spans="1:20" s="39" customFormat="1" ht="22.5" customHeight="1" thickBot="1">
      <c r="A37" s="93" t="s">
        <v>31</v>
      </c>
      <c r="B37" s="94"/>
      <c r="C37" s="95"/>
      <c r="D37" s="95"/>
      <c r="E37" s="96">
        <f>E18+E24+E25-E26-E27-E36</f>
        <v>627.4288000000015</v>
      </c>
      <c r="F37" s="96">
        <f t="shared" ref="F37:I37" si="22">E37+F18+F24+F25-F26-F27-F36-F29</f>
        <v>225.76646880000771</v>
      </c>
      <c r="G37" s="96">
        <f t="shared" si="22"/>
        <v>1083.7322657024051</v>
      </c>
      <c r="H37" s="96">
        <f t="shared" si="22"/>
        <v>7077.9690234654117</v>
      </c>
      <c r="I37" s="96">
        <f t="shared" si="22"/>
        <v>18174.454725054471</v>
      </c>
      <c r="J37" s="96">
        <f>I37+J18+J24+J25-J26-J27-J36-J29</f>
        <v>39598.183837699864</v>
      </c>
      <c r="K37" s="96">
        <f t="shared" ref="K37:S37" si="23">J37+K18+K24+K25-K26-K27-K36-K29</f>
        <v>11892.014656625788</v>
      </c>
      <c r="L37" s="96">
        <f t="shared" si="23"/>
        <v>12007.681785033048</v>
      </c>
      <c r="M37" s="96">
        <f t="shared" si="23"/>
        <v>35660.308262934552</v>
      </c>
      <c r="N37" s="96">
        <f>M37+N18+N24+N25-N26-N27-N36-N29</f>
        <v>58859.324041084707</v>
      </c>
      <c r="O37" s="96">
        <f t="shared" si="23"/>
        <v>84207.407339913814</v>
      </c>
      <c r="P37" s="96">
        <f t="shared" si="23"/>
        <v>110082.38122100664</v>
      </c>
      <c r="Q37" s="96">
        <f t="shared" si="23"/>
        <v>138758.42934465114</v>
      </c>
      <c r="R37" s="96">
        <f t="shared" si="23"/>
        <v>68415.395270397683</v>
      </c>
      <c r="S37" s="96">
        <f t="shared" si="23"/>
        <v>-9.5793487162154634E-4</v>
      </c>
      <c r="T37" s="97"/>
    </row>
    <row r="38" spans="1:20" s="39" customFormat="1" ht="22.5" customHeight="1">
      <c r="A38" s="117"/>
      <c r="B38" s="118"/>
      <c r="C38" s="119"/>
      <c r="D38" s="119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</row>
    <row r="39" spans="1:20" s="39" customFormat="1" ht="22.5" customHeight="1">
      <c r="A39" s="117"/>
      <c r="B39" s="118"/>
      <c r="C39" s="119"/>
      <c r="D39" s="119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</row>
    <row r="40" spans="1:20" s="39" customFormat="1" ht="22.5" customHeight="1">
      <c r="A40" s="117"/>
      <c r="B40" s="118"/>
      <c r="C40" s="119"/>
      <c r="D40" s="119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1"/>
    </row>
    <row r="41" spans="1:20" s="39" customFormat="1" ht="22.5" customHeight="1" thickBot="1">
      <c r="A41" s="117"/>
      <c r="B41" s="118"/>
      <c r="C41" s="119"/>
      <c r="D41" s="119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1"/>
    </row>
    <row r="42" spans="1:20">
      <c r="A42" s="150" t="s">
        <v>24</v>
      </c>
      <c r="B42" s="152" t="s">
        <v>0</v>
      </c>
      <c r="C42" s="152" t="s">
        <v>46</v>
      </c>
      <c r="D42" s="152" t="s">
        <v>47</v>
      </c>
      <c r="E42" s="148">
        <v>2016</v>
      </c>
      <c r="F42" s="148">
        <v>2017</v>
      </c>
      <c r="G42" s="148">
        <v>2018</v>
      </c>
      <c r="H42" s="148">
        <v>2019</v>
      </c>
      <c r="I42" s="148">
        <v>2020</v>
      </c>
      <c r="J42" s="148">
        <v>2021</v>
      </c>
      <c r="K42" s="148">
        <v>2022</v>
      </c>
      <c r="L42" s="148">
        <v>2023</v>
      </c>
      <c r="M42" s="148">
        <v>2024</v>
      </c>
      <c r="N42" s="148">
        <v>2025</v>
      </c>
      <c r="O42" s="148">
        <v>2026</v>
      </c>
      <c r="P42" s="148">
        <v>2027</v>
      </c>
      <c r="Q42" s="148">
        <v>2028</v>
      </c>
      <c r="R42" s="148">
        <v>2029</v>
      </c>
      <c r="S42" s="148">
        <v>2030</v>
      </c>
      <c r="T42" s="154" t="s">
        <v>58</v>
      </c>
    </row>
    <row r="43" spans="1:20" ht="11.25" customHeight="1" thickBot="1">
      <c r="A43" s="151"/>
      <c r="B43" s="153"/>
      <c r="C43" s="153"/>
      <c r="D43" s="153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55"/>
    </row>
    <row r="44" spans="1:20" ht="14.25" customHeight="1">
      <c r="A44" s="42" t="s">
        <v>19</v>
      </c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98"/>
    </row>
    <row r="45" spans="1:20">
      <c r="A45" s="45" t="s">
        <v>52</v>
      </c>
      <c r="B45" s="46" t="s">
        <v>1</v>
      </c>
      <c r="C45" s="47">
        <v>19.55</v>
      </c>
      <c r="D45" s="48">
        <v>21.19</v>
      </c>
      <c r="E45" s="48">
        <f>E48/E47</f>
        <v>25.677462978657832</v>
      </c>
      <c r="F45" s="48">
        <f t="shared" ref="F45:S45" si="24">F48/F47</f>
        <v>26.987013590569383</v>
      </c>
      <c r="G45" s="48">
        <f t="shared" si="24"/>
        <v>28.282390242916712</v>
      </c>
      <c r="H45" s="48">
        <f t="shared" si="24"/>
        <v>29.555097803847964</v>
      </c>
      <c r="I45" s="48">
        <f t="shared" si="24"/>
        <v>30.796411911609578</v>
      </c>
      <c r="J45" s="48">
        <f t="shared" si="24"/>
        <v>31.997471976162352</v>
      </c>
      <c r="K45" s="48">
        <f t="shared" si="24"/>
        <v>33.21337591125652</v>
      </c>
      <c r="L45" s="48">
        <f t="shared" si="24"/>
        <v>34.409057444061752</v>
      </c>
      <c r="M45" s="48">
        <f t="shared" si="24"/>
        <v>35.613374454603907</v>
      </c>
      <c r="N45" s="48">
        <f t="shared" si="24"/>
        <v>36.824229186060457</v>
      </c>
      <c r="O45" s="48">
        <f t="shared" si="24"/>
        <v>38.039428749200439</v>
      </c>
      <c r="P45" s="48">
        <f t="shared" si="24"/>
        <v>39.218651040425655</v>
      </c>
      <c r="Q45" s="48">
        <f t="shared" si="24"/>
        <v>40.355991920598001</v>
      </c>
      <c r="R45" s="48">
        <f t="shared" si="24"/>
        <v>41.485959694374742</v>
      </c>
      <c r="S45" s="48">
        <f t="shared" si="24"/>
        <v>42.646648599431977</v>
      </c>
      <c r="T45" s="49"/>
    </row>
    <row r="46" spans="1:20">
      <c r="A46" s="50" t="s">
        <v>39</v>
      </c>
      <c r="B46" s="51" t="s">
        <v>5</v>
      </c>
      <c r="C46" s="52">
        <v>1.0429999999999999</v>
      </c>
      <c r="D46" s="52">
        <f>D45/C45</f>
        <v>1.0838874680306905</v>
      </c>
      <c r="E46" s="133">
        <f>E45/D45</f>
        <v>1.211772674783286</v>
      </c>
      <c r="F46" s="52">
        <f t="shared" ref="F46:I46" si="25">F45/E45</f>
        <v>1.0509999999999999</v>
      </c>
      <c r="G46" s="52">
        <f t="shared" si="25"/>
        <v>1.048</v>
      </c>
      <c r="H46" s="52">
        <f t="shared" si="25"/>
        <v>1.0449999999999999</v>
      </c>
      <c r="I46" s="52">
        <f t="shared" si="25"/>
        <v>1.042</v>
      </c>
      <c r="J46" s="52">
        <f>J45/I45</f>
        <v>1.0389999999999999</v>
      </c>
      <c r="K46" s="52">
        <f t="shared" ref="K46:S46" si="26">K45/J45</f>
        <v>1.038</v>
      </c>
      <c r="L46" s="52">
        <f t="shared" si="26"/>
        <v>1.0359999999999998</v>
      </c>
      <c r="M46" s="52">
        <f t="shared" si="26"/>
        <v>1.0349999999999999</v>
      </c>
      <c r="N46" s="52">
        <f t="shared" si="26"/>
        <v>1.0340000000000005</v>
      </c>
      <c r="O46" s="52">
        <f t="shared" si="26"/>
        <v>1.0329999999999997</v>
      </c>
      <c r="P46" s="52">
        <f t="shared" si="26"/>
        <v>1.0310000000000001</v>
      </c>
      <c r="Q46" s="52">
        <f t="shared" si="26"/>
        <v>1.0290000000000001</v>
      </c>
      <c r="R46" s="52">
        <f t="shared" si="26"/>
        <v>1.028</v>
      </c>
      <c r="S46" s="52">
        <f t="shared" si="26"/>
        <v>1.0279778728419924</v>
      </c>
      <c r="T46" s="53"/>
    </row>
    <row r="47" spans="1:20">
      <c r="A47" s="45" t="s">
        <v>40</v>
      </c>
      <c r="B47" s="46" t="s">
        <v>4</v>
      </c>
      <c r="C47" s="47">
        <v>10133</v>
      </c>
      <c r="D47" s="48">
        <v>9561</v>
      </c>
      <c r="E47" s="48">
        <v>9085.2999999999993</v>
      </c>
      <c r="F47" s="48">
        <v>9085.2999999999993</v>
      </c>
      <c r="G47" s="48">
        <v>9085.2999999999993</v>
      </c>
      <c r="H47" s="48">
        <v>9085.2999999999993</v>
      </c>
      <c r="I47" s="48">
        <v>9085.2999999999993</v>
      </c>
      <c r="J47" s="48">
        <v>9085.2999999999993</v>
      </c>
      <c r="K47" s="48">
        <v>9085.2999999999993</v>
      </c>
      <c r="L47" s="48">
        <v>9085.2999999999993</v>
      </c>
      <c r="M47" s="48">
        <v>9085.2999999999993</v>
      </c>
      <c r="N47" s="48">
        <v>9085.2999999999993</v>
      </c>
      <c r="O47" s="48">
        <v>9085.2999999999993</v>
      </c>
      <c r="P47" s="48">
        <v>9085.2999999999993</v>
      </c>
      <c r="Q47" s="48">
        <v>9085.2999999999993</v>
      </c>
      <c r="R47" s="48">
        <v>9085.2999999999993</v>
      </c>
      <c r="S47" s="48">
        <v>9085.2999999999993</v>
      </c>
      <c r="T47" s="49"/>
    </row>
    <row r="48" spans="1:20">
      <c r="A48" s="45" t="s">
        <v>70</v>
      </c>
      <c r="B48" s="46" t="s">
        <v>7</v>
      </c>
      <c r="C48" s="47">
        <v>198100.15</v>
      </c>
      <c r="D48" s="48">
        <v>202597.59</v>
      </c>
      <c r="E48" s="48">
        <f>E51+E52+E56</f>
        <v>233287.45439999999</v>
      </c>
      <c r="F48" s="48">
        <f t="shared" ref="F48:S48" si="27">F51+F52+F56</f>
        <v>245185.11457440001</v>
      </c>
      <c r="G48" s="48">
        <f t="shared" si="27"/>
        <v>256954.0000739712</v>
      </c>
      <c r="H48" s="48">
        <f t="shared" si="27"/>
        <v>268516.93007729988</v>
      </c>
      <c r="I48" s="48">
        <f t="shared" si="27"/>
        <v>279794.64114054648</v>
      </c>
      <c r="J48" s="48">
        <f t="shared" si="27"/>
        <v>290706.6321450278</v>
      </c>
      <c r="K48" s="48">
        <f t="shared" si="27"/>
        <v>301753.48416653887</v>
      </c>
      <c r="L48" s="48">
        <f t="shared" si="27"/>
        <v>312616.60959653422</v>
      </c>
      <c r="M48" s="48">
        <f t="shared" si="27"/>
        <v>323558.19093241286</v>
      </c>
      <c r="N48" s="48">
        <f t="shared" si="27"/>
        <v>334559.16942411504</v>
      </c>
      <c r="O48" s="48">
        <f t="shared" si="27"/>
        <v>345599.62201511074</v>
      </c>
      <c r="P48" s="48">
        <f t="shared" si="27"/>
        <v>356313.21029757918</v>
      </c>
      <c r="Q48" s="48">
        <f t="shared" si="27"/>
        <v>366646.29339620896</v>
      </c>
      <c r="R48" s="48">
        <f t="shared" si="27"/>
        <v>376912.38961130282</v>
      </c>
      <c r="S48" s="48">
        <f t="shared" si="27"/>
        <v>387457.59652041929</v>
      </c>
      <c r="T48" s="49"/>
    </row>
    <row r="49" spans="1:21" ht="29.25" customHeight="1">
      <c r="A49" s="45" t="s">
        <v>41</v>
      </c>
      <c r="B49" s="46" t="s">
        <v>7</v>
      </c>
      <c r="C49" s="61">
        <f>C48-C52-C54-C50</f>
        <v>187872.65</v>
      </c>
      <c r="D49" s="48">
        <f>D48-D52-D56-D50</f>
        <v>192362.05</v>
      </c>
      <c r="E49" s="48">
        <v>201917.37</v>
      </c>
      <c r="F49" s="48">
        <f>E49*F53</f>
        <v>212215.15586999999</v>
      </c>
      <c r="G49" s="48">
        <f t="shared" ref="G49:Q49" si="28">F49*G53</f>
        <v>222401.48335175999</v>
      </c>
      <c r="H49" s="48">
        <f t="shared" si="28"/>
        <v>232409.55010258919</v>
      </c>
      <c r="I49" s="48">
        <f t="shared" si="28"/>
        <v>242170.75120689793</v>
      </c>
      <c r="J49" s="48">
        <f t="shared" si="28"/>
        <v>251615.41050396694</v>
      </c>
      <c r="K49" s="48">
        <f t="shared" si="28"/>
        <v>261176.7961031177</v>
      </c>
      <c r="L49" s="48">
        <f t="shared" si="28"/>
        <v>270579.16076282994</v>
      </c>
      <c r="M49" s="48">
        <f t="shared" si="28"/>
        <v>280049.43138952897</v>
      </c>
      <c r="N49" s="48">
        <f t="shared" si="28"/>
        <v>289571.11205677298</v>
      </c>
      <c r="O49" s="48">
        <f t="shared" si="28"/>
        <v>299126.95875464648</v>
      </c>
      <c r="P49" s="48">
        <f t="shared" si="28"/>
        <v>308399.8944760405</v>
      </c>
      <c r="Q49" s="48">
        <f t="shared" si="28"/>
        <v>317343.49141584564</v>
      </c>
      <c r="R49" s="48">
        <f>Q49*R53</f>
        <v>326229.10917548934</v>
      </c>
      <c r="S49" s="48">
        <f>R49*S53</f>
        <v>335363.52423240303</v>
      </c>
      <c r="T49" s="49"/>
    </row>
    <row r="50" spans="1:21" ht="18" customHeight="1">
      <c r="A50" s="45" t="s">
        <v>42</v>
      </c>
      <c r="B50" s="46" t="s">
        <v>7</v>
      </c>
      <c r="C50" s="61">
        <f>1710</f>
        <v>1710</v>
      </c>
      <c r="D50" s="48">
        <v>0</v>
      </c>
      <c r="E50" s="48">
        <v>6375</v>
      </c>
      <c r="F50" s="48">
        <f>E50*F53</f>
        <v>6700.125</v>
      </c>
      <c r="G50" s="48">
        <f t="shared" ref="G50:S50" si="29">F50*G53</f>
        <v>7021.7310000000007</v>
      </c>
      <c r="H50" s="48">
        <f t="shared" si="29"/>
        <v>7337.7088949999998</v>
      </c>
      <c r="I50" s="48">
        <f t="shared" si="29"/>
        <v>7645.8926685899996</v>
      </c>
      <c r="J50" s="48">
        <f t="shared" si="29"/>
        <v>7944.0824826650087</v>
      </c>
      <c r="K50" s="48">
        <f t="shared" si="29"/>
        <v>8245.9576170062792</v>
      </c>
      <c r="L50" s="48">
        <f t="shared" si="29"/>
        <v>8542.8120912185059</v>
      </c>
      <c r="M50" s="48">
        <f t="shared" si="29"/>
        <v>8841.8105144111523</v>
      </c>
      <c r="N50" s="48">
        <f t="shared" si="29"/>
        <v>9142.4320719011321</v>
      </c>
      <c r="O50" s="48">
        <f t="shared" si="29"/>
        <v>9444.1323302738692</v>
      </c>
      <c r="P50" s="48">
        <f t="shared" si="29"/>
        <v>9736.9004325123587</v>
      </c>
      <c r="Q50" s="48">
        <f t="shared" si="29"/>
        <v>10019.270545055217</v>
      </c>
      <c r="R50" s="48">
        <f t="shared" si="29"/>
        <v>10299.810120316763</v>
      </c>
      <c r="S50" s="48">
        <f t="shared" si="29"/>
        <v>10588.204803685632</v>
      </c>
      <c r="T50" s="49"/>
    </row>
    <row r="51" spans="1:21" s="39" customFormat="1" ht="20.25" customHeight="1">
      <c r="A51" s="54" t="s">
        <v>28</v>
      </c>
      <c r="B51" s="55" t="s">
        <v>7</v>
      </c>
      <c r="C51" s="99">
        <f>C49+C50</f>
        <v>189582.65</v>
      </c>
      <c r="D51" s="99">
        <f t="shared" ref="D51:S51" si="30">D49+D50</f>
        <v>192362.05</v>
      </c>
      <c r="E51" s="99">
        <f t="shared" si="30"/>
        <v>208292.37</v>
      </c>
      <c r="F51" s="99">
        <f t="shared" si="30"/>
        <v>218915.28086999999</v>
      </c>
      <c r="G51" s="99">
        <f t="shared" si="30"/>
        <v>229423.21435175999</v>
      </c>
      <c r="H51" s="99">
        <f t="shared" si="30"/>
        <v>239747.25899758918</v>
      </c>
      <c r="I51" s="99">
        <f t="shared" si="30"/>
        <v>249816.64387548793</v>
      </c>
      <c r="J51" s="99">
        <f t="shared" si="30"/>
        <v>259559.49298663196</v>
      </c>
      <c r="K51" s="99">
        <f t="shared" si="30"/>
        <v>269422.75372012396</v>
      </c>
      <c r="L51" s="99">
        <f t="shared" si="30"/>
        <v>279121.97285404842</v>
      </c>
      <c r="M51" s="99">
        <f t="shared" si="30"/>
        <v>288891.2419039401</v>
      </c>
      <c r="N51" s="99">
        <f t="shared" si="30"/>
        <v>298713.54412867414</v>
      </c>
      <c r="O51" s="99">
        <f t="shared" si="30"/>
        <v>308571.09108492034</v>
      </c>
      <c r="P51" s="99">
        <f t="shared" si="30"/>
        <v>318136.79490855284</v>
      </c>
      <c r="Q51" s="99">
        <f t="shared" si="30"/>
        <v>327362.76196090085</v>
      </c>
      <c r="R51" s="99">
        <f t="shared" si="30"/>
        <v>336528.91929580609</v>
      </c>
      <c r="S51" s="99">
        <f t="shared" si="30"/>
        <v>345951.72903608868</v>
      </c>
      <c r="T51" s="58"/>
    </row>
    <row r="52" spans="1:21" ht="16.5" customHeight="1">
      <c r="A52" s="45" t="s">
        <v>21</v>
      </c>
      <c r="B52" s="46" t="s">
        <v>7</v>
      </c>
      <c r="C52" s="47">
        <v>2217.5</v>
      </c>
      <c r="D52" s="48">
        <v>561</v>
      </c>
      <c r="E52" s="48">
        <v>589.04999999999995</v>
      </c>
      <c r="F52" s="48">
        <f>E52*F53</f>
        <v>619.09154999999987</v>
      </c>
      <c r="G52" s="48">
        <f t="shared" ref="G52:S52" si="31">F52*G53</f>
        <v>648.80794439999988</v>
      </c>
      <c r="H52" s="48">
        <f t="shared" si="31"/>
        <v>678.00430189799988</v>
      </c>
      <c r="I52" s="48">
        <f t="shared" si="31"/>
        <v>706.48048257771586</v>
      </c>
      <c r="J52" s="48">
        <f t="shared" si="31"/>
        <v>734.03322139824672</v>
      </c>
      <c r="K52" s="48">
        <f t="shared" si="31"/>
        <v>761.92648381138008</v>
      </c>
      <c r="L52" s="48">
        <f t="shared" si="31"/>
        <v>789.35583722858973</v>
      </c>
      <c r="M52" s="48">
        <f t="shared" si="31"/>
        <v>816.98329153159034</v>
      </c>
      <c r="N52" s="48">
        <f t="shared" si="31"/>
        <v>844.76072344366446</v>
      </c>
      <c r="O52" s="48">
        <f t="shared" si="31"/>
        <v>872.63782731730532</v>
      </c>
      <c r="P52" s="48">
        <f t="shared" si="31"/>
        <v>899.68959996414173</v>
      </c>
      <c r="Q52" s="48">
        <f t="shared" si="31"/>
        <v>925.78059836310172</v>
      </c>
      <c r="R52" s="48">
        <f t="shared" si="31"/>
        <v>951.70245511726864</v>
      </c>
      <c r="S52" s="48">
        <f t="shared" si="31"/>
        <v>978.35012386055223</v>
      </c>
      <c r="T52" s="49"/>
    </row>
    <row r="53" spans="1:21" ht="18" customHeight="1">
      <c r="A53" s="50" t="s">
        <v>44</v>
      </c>
      <c r="B53" s="51" t="s">
        <v>5</v>
      </c>
      <c r="C53" s="52">
        <f>C49/181163.8</f>
        <v>1.0370319567154145</v>
      </c>
      <c r="D53" s="52">
        <f>D49/C49</f>
        <v>1.023895974214448</v>
      </c>
      <c r="E53" s="52">
        <f>E49/D49</f>
        <v>1.0496736232536512</v>
      </c>
      <c r="F53" s="52">
        <v>1.0509999999999999</v>
      </c>
      <c r="G53" s="52">
        <v>1.048</v>
      </c>
      <c r="H53" s="52">
        <v>1.0449999999999999</v>
      </c>
      <c r="I53" s="52">
        <v>1.042</v>
      </c>
      <c r="J53" s="52">
        <v>1.0389999999999999</v>
      </c>
      <c r="K53" s="52">
        <v>1.038</v>
      </c>
      <c r="L53" s="52">
        <v>1.036</v>
      </c>
      <c r="M53" s="52">
        <v>1.0349999999999999</v>
      </c>
      <c r="N53" s="52">
        <v>1.034</v>
      </c>
      <c r="O53" s="52">
        <v>1.0329999999999999</v>
      </c>
      <c r="P53" s="52">
        <v>1.0309999999999999</v>
      </c>
      <c r="Q53" s="52">
        <v>1.0289999999999999</v>
      </c>
      <c r="R53" s="52">
        <v>1.028</v>
      </c>
      <c r="S53" s="52">
        <v>1.028</v>
      </c>
      <c r="T53" s="53"/>
    </row>
    <row r="54" spans="1:21" ht="16.5" customHeight="1">
      <c r="A54" s="59" t="s">
        <v>45</v>
      </c>
      <c r="B54" s="60" t="s">
        <v>7</v>
      </c>
      <c r="C54" s="61">
        <v>6300</v>
      </c>
      <c r="D54" s="61">
        <v>0</v>
      </c>
      <c r="E54" s="80">
        <f>E51*0.07-E52</f>
        <v>13991.415900000002</v>
      </c>
      <c r="F54" s="62">
        <f>F51*0.07-F52</f>
        <v>14704.978110900001</v>
      </c>
      <c r="G54" s="62">
        <f t="shared" ref="G54:S54" si="32">G51*0.07-G52</f>
        <v>15410.817060223202</v>
      </c>
      <c r="H54" s="62">
        <f t="shared" si="32"/>
        <v>16104.303827933243</v>
      </c>
      <c r="I54" s="62">
        <f t="shared" si="32"/>
        <v>16780.684588706441</v>
      </c>
      <c r="J54" s="62">
        <f t="shared" si="32"/>
        <v>17435.13128766599</v>
      </c>
      <c r="K54" s="62">
        <f t="shared" si="32"/>
        <v>18097.666276597298</v>
      </c>
      <c r="L54" s="62">
        <f t="shared" si="32"/>
        <v>18749.182262554801</v>
      </c>
      <c r="M54" s="62">
        <f t="shared" si="32"/>
        <v>19405.403641744218</v>
      </c>
      <c r="N54" s="62">
        <f t="shared" si="32"/>
        <v>20065.187365563528</v>
      </c>
      <c r="O54" s="62">
        <f t="shared" si="32"/>
        <v>20727.338548627118</v>
      </c>
      <c r="P54" s="62">
        <f t="shared" si="32"/>
        <v>21369.88604363456</v>
      </c>
      <c r="Q54" s="62">
        <f t="shared" si="32"/>
        <v>21989.612738899963</v>
      </c>
      <c r="R54" s="62">
        <f t="shared" si="32"/>
        <v>22605.321895589161</v>
      </c>
      <c r="S54" s="62">
        <f t="shared" si="32"/>
        <v>23238.270908665658</v>
      </c>
      <c r="T54" s="63"/>
    </row>
    <row r="55" spans="1:21" ht="18" customHeight="1">
      <c r="A55" s="59" t="s">
        <v>57</v>
      </c>
      <c r="B55" s="60" t="s">
        <v>7</v>
      </c>
      <c r="C55" s="61">
        <v>0</v>
      </c>
      <c r="D55" s="61">
        <v>9674.5400000000009</v>
      </c>
      <c r="E55" s="61">
        <f>E51*0.05</f>
        <v>10414.6185</v>
      </c>
      <c r="F55" s="61">
        <f>F51*0.05</f>
        <v>10945.764043499999</v>
      </c>
      <c r="G55" s="61">
        <f t="shared" ref="G55:R55" si="33">G51*0.05</f>
        <v>11471.160717588</v>
      </c>
      <c r="H55" s="61">
        <f t="shared" si="33"/>
        <v>11987.36294987946</v>
      </c>
      <c r="I55" s="61">
        <f t="shared" si="33"/>
        <v>12490.832193774397</v>
      </c>
      <c r="J55" s="61">
        <f t="shared" si="33"/>
        <v>12977.974649331598</v>
      </c>
      <c r="K55" s="61">
        <f t="shared" si="33"/>
        <v>13471.137686006199</v>
      </c>
      <c r="L55" s="61">
        <f t="shared" si="33"/>
        <v>13956.098642702422</v>
      </c>
      <c r="M55" s="61">
        <f t="shared" si="33"/>
        <v>14444.562095197005</v>
      </c>
      <c r="N55" s="61">
        <f t="shared" si="33"/>
        <v>14935.677206433707</v>
      </c>
      <c r="O55" s="61">
        <f t="shared" si="33"/>
        <v>15428.554554246017</v>
      </c>
      <c r="P55" s="61">
        <f t="shared" si="33"/>
        <v>15906.839745427642</v>
      </c>
      <c r="Q55" s="61">
        <f t="shared" si="33"/>
        <v>16368.138098045043</v>
      </c>
      <c r="R55" s="61">
        <f t="shared" si="33"/>
        <v>16826.445964790306</v>
      </c>
      <c r="S55" s="61">
        <f>S51*0.05-8.34</f>
        <v>17289.246451804436</v>
      </c>
      <c r="T55" s="63"/>
    </row>
    <row r="56" spans="1:21" ht="18.75" customHeight="1">
      <c r="A56" s="64" t="s">
        <v>48</v>
      </c>
      <c r="B56" s="65" t="s">
        <v>7</v>
      </c>
      <c r="C56" s="61">
        <f>C54+C55</f>
        <v>6300</v>
      </c>
      <c r="D56" s="61">
        <f>D54+D55</f>
        <v>9674.5400000000009</v>
      </c>
      <c r="E56" s="66">
        <f>E54+E55</f>
        <v>24406.034400000004</v>
      </c>
      <c r="F56" s="66">
        <f t="shared" ref="F56:R56" si="34">F54+F55</f>
        <v>25650.742154400003</v>
      </c>
      <c r="G56" s="66">
        <f t="shared" si="34"/>
        <v>26881.977777811204</v>
      </c>
      <c r="H56" s="66">
        <f t="shared" si="34"/>
        <v>28091.666777812701</v>
      </c>
      <c r="I56" s="66">
        <f t="shared" si="34"/>
        <v>29271.516782480838</v>
      </c>
      <c r="J56" s="66">
        <f t="shared" si="34"/>
        <v>30413.105936997588</v>
      </c>
      <c r="K56" s="66">
        <f t="shared" si="34"/>
        <v>31568.803962603495</v>
      </c>
      <c r="L56" s="66">
        <f t="shared" si="34"/>
        <v>32705.280905257223</v>
      </c>
      <c r="M56" s="66">
        <f t="shared" si="34"/>
        <v>33849.965736941223</v>
      </c>
      <c r="N56" s="66">
        <f t="shared" si="34"/>
        <v>35000.864571997234</v>
      </c>
      <c r="O56" s="66">
        <f t="shared" si="34"/>
        <v>36155.893102873131</v>
      </c>
      <c r="P56" s="66">
        <f t="shared" si="34"/>
        <v>37276.725789062199</v>
      </c>
      <c r="Q56" s="66">
        <f t="shared" si="34"/>
        <v>38357.750836945008</v>
      </c>
      <c r="R56" s="66">
        <f t="shared" si="34"/>
        <v>39431.767860379463</v>
      </c>
      <c r="S56" s="66">
        <f>S54+S55</f>
        <v>40527.517360470098</v>
      </c>
      <c r="T56" s="67">
        <f>SUM(E56:S56)</f>
        <v>489589.61395603145</v>
      </c>
    </row>
    <row r="57" spans="1:21" ht="30.75" customHeight="1">
      <c r="A57" s="73" t="s">
        <v>55</v>
      </c>
      <c r="B57" s="74" t="s">
        <v>5</v>
      </c>
      <c r="C57" s="75">
        <f>(C56+C52)/C49</f>
        <v>4.533656176138464E-2</v>
      </c>
      <c r="D57" s="75">
        <f t="shared" ref="D57:S57" si="35">(D56+D52)/D49</f>
        <v>5.3209767727054276E-2</v>
      </c>
      <c r="E57" s="75">
        <f t="shared" si="35"/>
        <v>0.12378867850745086</v>
      </c>
      <c r="F57" s="75">
        <f t="shared" si="35"/>
        <v>0.12378867850745087</v>
      </c>
      <c r="G57" s="75">
        <f t="shared" si="35"/>
        <v>0.12378867850745086</v>
      </c>
      <c r="H57" s="75">
        <f t="shared" si="35"/>
        <v>0.12378867850745084</v>
      </c>
      <c r="I57" s="75">
        <f t="shared" si="35"/>
        <v>0.12378867850745086</v>
      </c>
      <c r="J57" s="75">
        <f t="shared" si="35"/>
        <v>0.12378867850745086</v>
      </c>
      <c r="K57" s="75">
        <f t="shared" si="35"/>
        <v>0.12378867850745084</v>
      </c>
      <c r="L57" s="75">
        <f t="shared" si="35"/>
        <v>0.12378867850745083</v>
      </c>
      <c r="M57" s="75">
        <f t="shared" si="35"/>
        <v>0.12378867850745086</v>
      </c>
      <c r="N57" s="75">
        <f t="shared" si="35"/>
        <v>0.12378867850745086</v>
      </c>
      <c r="O57" s="75">
        <f t="shared" si="35"/>
        <v>0.12378867850745082</v>
      </c>
      <c r="P57" s="75">
        <f t="shared" si="35"/>
        <v>0.12378867850745083</v>
      </c>
      <c r="Q57" s="75">
        <f t="shared" si="35"/>
        <v>0.12378867850745087</v>
      </c>
      <c r="R57" s="75">
        <f t="shared" si="35"/>
        <v>0.12378867850745083</v>
      </c>
      <c r="S57" s="75">
        <f t="shared" si="35"/>
        <v>0.12376380997107952</v>
      </c>
      <c r="T57" s="77"/>
    </row>
    <row r="58" spans="1:21" s="39" customFormat="1" ht="18" customHeight="1">
      <c r="A58" s="88" t="s">
        <v>36</v>
      </c>
      <c r="B58" s="112" t="s">
        <v>7</v>
      </c>
      <c r="C58" s="109"/>
      <c r="D58" s="109"/>
      <c r="E58" s="110"/>
      <c r="F58" s="110"/>
      <c r="G58" s="110"/>
      <c r="H58" s="110"/>
      <c r="I58" s="110"/>
      <c r="J58" s="100">
        <f>J29</f>
        <v>14952.881031305635</v>
      </c>
      <c r="K58" s="100">
        <f t="shared" ref="K58:S58" si="36">K29</f>
        <v>15521.090510495249</v>
      </c>
      <c r="L58" s="100">
        <f t="shared" si="36"/>
        <v>16079.849768873079</v>
      </c>
      <c r="M58" s="100">
        <f t="shared" si="36"/>
        <v>16642.644510783633</v>
      </c>
      <c r="N58" s="100">
        <f t="shared" si="36"/>
        <v>18408.494424150278</v>
      </c>
      <c r="O58" s="100">
        <f t="shared" si="36"/>
        <v>17576.374740147236</v>
      </c>
      <c r="P58" s="100">
        <f t="shared" si="36"/>
        <v>18327.442357091801</v>
      </c>
      <c r="Q58" s="100">
        <f t="shared" si="36"/>
        <v>16758.93818544746</v>
      </c>
      <c r="R58" s="100">
        <f t="shared" si="36"/>
        <v>-900</v>
      </c>
      <c r="S58" s="100">
        <f t="shared" si="36"/>
        <v>-837.32999999999993</v>
      </c>
      <c r="T58" s="101">
        <f>SUM(E58:S58)</f>
        <v>132530.38552829437</v>
      </c>
    </row>
    <row r="59" spans="1:21" s="39" customFormat="1" ht="18.75" customHeight="1">
      <c r="A59" s="108" t="s">
        <v>53</v>
      </c>
      <c r="B59" s="65" t="s">
        <v>7</v>
      </c>
      <c r="C59" s="109"/>
      <c r="D59" s="109"/>
      <c r="E59" s="113">
        <f>E56+E58</f>
        <v>24406.034400000004</v>
      </c>
      <c r="F59" s="113">
        <f t="shared" ref="F59:S59" si="37">F56+F58</f>
        <v>25650.742154400003</v>
      </c>
      <c r="G59" s="113">
        <f t="shared" si="37"/>
        <v>26881.977777811204</v>
      </c>
      <c r="H59" s="113">
        <f t="shared" si="37"/>
        <v>28091.666777812701</v>
      </c>
      <c r="I59" s="113">
        <f t="shared" si="37"/>
        <v>29271.516782480838</v>
      </c>
      <c r="J59" s="113">
        <f t="shared" si="37"/>
        <v>45365.986968303223</v>
      </c>
      <c r="K59" s="113">
        <f t="shared" si="37"/>
        <v>47089.894473098742</v>
      </c>
      <c r="L59" s="113">
        <f t="shared" si="37"/>
        <v>48785.130674130298</v>
      </c>
      <c r="M59" s="113">
        <f t="shared" si="37"/>
        <v>50492.610247724857</v>
      </c>
      <c r="N59" s="113">
        <f t="shared" si="37"/>
        <v>53409.358996147508</v>
      </c>
      <c r="O59" s="113">
        <f t="shared" si="37"/>
        <v>53732.267843020367</v>
      </c>
      <c r="P59" s="113">
        <f t="shared" si="37"/>
        <v>55604.168146153999</v>
      </c>
      <c r="Q59" s="113">
        <f t="shared" si="37"/>
        <v>55116.689022392471</v>
      </c>
      <c r="R59" s="113">
        <f t="shared" si="37"/>
        <v>38531.767860379463</v>
      </c>
      <c r="S59" s="113">
        <f t="shared" si="37"/>
        <v>39690.187360470096</v>
      </c>
      <c r="T59" s="107">
        <f>SUM(E59:S59)</f>
        <v>622119.99948432576</v>
      </c>
    </row>
    <row r="60" spans="1:21" s="41" customFormat="1" ht="12" customHeight="1">
      <c r="A60" s="68" t="s">
        <v>49</v>
      </c>
      <c r="B60" s="69"/>
      <c r="C60" s="70"/>
      <c r="D60" s="70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6"/>
    </row>
    <row r="61" spans="1:21" s="41" customFormat="1" ht="15.75" customHeight="1">
      <c r="A61" s="68" t="s">
        <v>59</v>
      </c>
      <c r="B61" s="69" t="s">
        <v>7</v>
      </c>
      <c r="C61" s="70"/>
      <c r="D61" s="70"/>
      <c r="E61" s="105">
        <f>E79-E63</f>
        <v>6925</v>
      </c>
      <c r="F61" s="105">
        <f>F79-F63</f>
        <v>37474</v>
      </c>
      <c r="G61" s="105">
        <f>G79-G63</f>
        <v>29145</v>
      </c>
      <c r="H61" s="105">
        <f>H79-H63</f>
        <v>13315</v>
      </c>
      <c r="I61" s="105">
        <f>I79</f>
        <v>0</v>
      </c>
      <c r="J61" s="105">
        <f>J79-J63-I63</f>
        <v>87260</v>
      </c>
      <c r="K61" s="105">
        <f>K79-K63</f>
        <v>46528</v>
      </c>
      <c r="L61" s="105">
        <f t="shared" ref="L61" si="38">L79</f>
        <v>0</v>
      </c>
      <c r="M61" s="105">
        <f>M79-M63-L63</f>
        <v>97260</v>
      </c>
      <c r="N61" s="105">
        <f>N79-N64-N63</f>
        <v>51200</v>
      </c>
      <c r="O61" s="105">
        <f>O79-O63</f>
        <v>8630</v>
      </c>
      <c r="P61" s="105">
        <f>P79-P63</f>
        <v>17630</v>
      </c>
      <c r="Q61" s="105">
        <f>Q79-Q63</f>
        <v>21630</v>
      </c>
      <c r="R61" s="105">
        <f>R79-R63</f>
        <v>8530</v>
      </c>
      <c r="S61" s="105">
        <f>S79-S63</f>
        <v>13430</v>
      </c>
      <c r="T61" s="106">
        <f>SUM(E61:S61)</f>
        <v>438957</v>
      </c>
      <c r="U61" s="132"/>
    </row>
    <row r="62" spans="1:21" s="41" customFormat="1" ht="14.25" customHeight="1">
      <c r="A62" s="68" t="s">
        <v>50</v>
      </c>
      <c r="B62" s="69" t="s">
        <v>7</v>
      </c>
      <c r="C62" s="70"/>
      <c r="D62" s="70"/>
      <c r="E62" s="105">
        <f>E65+E66</f>
        <v>0</v>
      </c>
      <c r="F62" s="105">
        <f t="shared" ref="F62:S62" si="39">F65+F66</f>
        <v>0</v>
      </c>
      <c r="G62" s="105">
        <f t="shared" si="39"/>
        <v>0</v>
      </c>
      <c r="H62" s="105">
        <f t="shared" si="39"/>
        <v>0</v>
      </c>
      <c r="I62" s="105">
        <f t="shared" si="39"/>
        <v>0</v>
      </c>
      <c r="J62" s="105">
        <f t="shared" si="39"/>
        <v>0</v>
      </c>
      <c r="K62" s="105">
        <f t="shared" si="39"/>
        <v>0</v>
      </c>
      <c r="L62" s="105">
        <f t="shared" si="39"/>
        <v>0</v>
      </c>
      <c r="M62" s="105">
        <f t="shared" si="39"/>
        <v>0</v>
      </c>
      <c r="N62" s="105">
        <f t="shared" si="39"/>
        <v>10310.5</v>
      </c>
      <c r="O62" s="105">
        <f t="shared" si="39"/>
        <v>42818.9</v>
      </c>
      <c r="P62" s="105">
        <f t="shared" si="39"/>
        <v>38694.699999999997</v>
      </c>
      <c r="Q62" s="105">
        <f t="shared" si="39"/>
        <v>34570.5</v>
      </c>
      <c r="R62" s="105">
        <f t="shared" si="39"/>
        <v>30446.3</v>
      </c>
      <c r="S62" s="105">
        <f t="shared" si="39"/>
        <v>26322.1</v>
      </c>
      <c r="T62" s="106">
        <f t="shared" ref="T62" si="40">SUM(E62:S62)</f>
        <v>183163</v>
      </c>
    </row>
    <row r="63" spans="1:21" s="39" customFormat="1" ht="28.5" customHeight="1">
      <c r="A63" s="82" t="s">
        <v>56</v>
      </c>
      <c r="B63" s="79" t="s">
        <v>7</v>
      </c>
      <c r="C63" s="75"/>
      <c r="D63" s="75"/>
      <c r="E63" s="57">
        <f>3070-1700</f>
        <v>1370</v>
      </c>
      <c r="F63" s="57">
        <f t="shared" ref="F63:S63" si="41">3070-1700</f>
        <v>1370</v>
      </c>
      <c r="G63" s="57">
        <f t="shared" si="41"/>
        <v>1370</v>
      </c>
      <c r="H63" s="57">
        <f t="shared" si="41"/>
        <v>1370</v>
      </c>
      <c r="I63" s="57">
        <f t="shared" si="41"/>
        <v>1370</v>
      </c>
      <c r="J63" s="57">
        <f t="shared" si="41"/>
        <v>1370</v>
      </c>
      <c r="K63" s="57">
        <f t="shared" si="41"/>
        <v>1370</v>
      </c>
      <c r="L63" s="57">
        <f t="shared" si="41"/>
        <v>1370</v>
      </c>
      <c r="M63" s="57">
        <f t="shared" si="41"/>
        <v>1370</v>
      </c>
      <c r="N63" s="57">
        <f t="shared" si="41"/>
        <v>1370</v>
      </c>
      <c r="O63" s="57">
        <f t="shared" si="41"/>
        <v>1370</v>
      </c>
      <c r="P63" s="57">
        <f t="shared" si="41"/>
        <v>1370</v>
      </c>
      <c r="Q63" s="57">
        <f t="shared" si="41"/>
        <v>1370</v>
      </c>
      <c r="R63" s="57">
        <f t="shared" si="41"/>
        <v>1370</v>
      </c>
      <c r="S63" s="57">
        <f t="shared" si="41"/>
        <v>1370</v>
      </c>
      <c r="T63" s="81">
        <f>SUM(E63:S63)</f>
        <v>20550</v>
      </c>
    </row>
    <row r="64" spans="1:21" s="40" customFormat="1" ht="17.25" customHeight="1">
      <c r="A64" s="78" t="s">
        <v>32</v>
      </c>
      <c r="B64" s="79" t="s">
        <v>7</v>
      </c>
      <c r="C64" s="80"/>
      <c r="D64" s="80"/>
      <c r="E64" s="83"/>
      <c r="F64" s="83"/>
      <c r="G64" s="83"/>
      <c r="H64" s="83"/>
      <c r="I64" s="83"/>
      <c r="J64" s="83"/>
      <c r="K64" s="83"/>
      <c r="L64" s="83"/>
      <c r="M64" s="83"/>
      <c r="N64" s="83">
        <v>121300</v>
      </c>
      <c r="O64" s="83"/>
      <c r="P64" s="83"/>
      <c r="Q64" s="83"/>
      <c r="R64" s="83"/>
      <c r="S64" s="83"/>
      <c r="T64" s="114">
        <f>SUM(G64:S64)</f>
        <v>121300</v>
      </c>
    </row>
    <row r="65" spans="1:20" s="40" customFormat="1" ht="17.25" customHeight="1">
      <c r="A65" s="78" t="s">
        <v>33</v>
      </c>
      <c r="B65" s="79" t="s">
        <v>7</v>
      </c>
      <c r="C65" s="80"/>
      <c r="D65" s="80"/>
      <c r="E65" s="83"/>
      <c r="F65" s="83">
        <f>(E67+F67)/2*0.17</f>
        <v>0</v>
      </c>
      <c r="G65" s="83">
        <f>(F67+G67)/2*0.17</f>
        <v>0</v>
      </c>
      <c r="H65" s="83">
        <f t="shared" ref="H65:S65" si="42">(G67+H67)/2*0.17</f>
        <v>0</v>
      </c>
      <c r="I65" s="83">
        <f t="shared" si="42"/>
        <v>0</v>
      </c>
      <c r="J65" s="83">
        <f t="shared" si="42"/>
        <v>0</v>
      </c>
      <c r="K65" s="83">
        <f t="shared" si="42"/>
        <v>0</v>
      </c>
      <c r="L65" s="83">
        <f t="shared" si="42"/>
        <v>0</v>
      </c>
      <c r="M65" s="83">
        <f t="shared" si="42"/>
        <v>0</v>
      </c>
      <c r="N65" s="83">
        <f t="shared" si="42"/>
        <v>10310.5</v>
      </c>
      <c r="O65" s="83">
        <f t="shared" si="42"/>
        <v>18558.900000000001</v>
      </c>
      <c r="P65" s="83">
        <f t="shared" si="42"/>
        <v>14434.7</v>
      </c>
      <c r="Q65" s="83">
        <f t="shared" si="42"/>
        <v>10310.5</v>
      </c>
      <c r="R65" s="83">
        <f t="shared" si="42"/>
        <v>6186.3</v>
      </c>
      <c r="S65" s="83">
        <f t="shared" si="42"/>
        <v>2062.1000000000004</v>
      </c>
      <c r="T65" s="114">
        <f>SUM(G65:S65)</f>
        <v>61863.000000000007</v>
      </c>
    </row>
    <row r="66" spans="1:20" s="40" customFormat="1" ht="17.25" customHeight="1">
      <c r="A66" s="78" t="s">
        <v>34</v>
      </c>
      <c r="B66" s="79" t="s">
        <v>7</v>
      </c>
      <c r="C66" s="80"/>
      <c r="D66" s="80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>
        <v>24260</v>
      </c>
      <c r="P66" s="83">
        <v>24260</v>
      </c>
      <c r="Q66" s="83">
        <v>24260</v>
      </c>
      <c r="R66" s="83">
        <v>24260</v>
      </c>
      <c r="S66" s="83">
        <v>24260</v>
      </c>
      <c r="T66" s="114">
        <f>SUM(G66:S66)</f>
        <v>121300</v>
      </c>
    </row>
    <row r="67" spans="1:20" s="39" customFormat="1" ht="15" customHeight="1">
      <c r="A67" s="82" t="s">
        <v>35</v>
      </c>
      <c r="B67" s="74" t="s">
        <v>7</v>
      </c>
      <c r="C67" s="75"/>
      <c r="D67" s="75"/>
      <c r="E67" s="57"/>
      <c r="F67" s="57"/>
      <c r="G67" s="57">
        <f>G64-G66</f>
        <v>0</v>
      </c>
      <c r="H67" s="57">
        <f>G67+H64-H66</f>
        <v>0</v>
      </c>
      <c r="I67" s="57">
        <f t="shared" ref="I67:S67" si="43">H67+I64-I66</f>
        <v>0</v>
      </c>
      <c r="J67" s="57">
        <f t="shared" si="43"/>
        <v>0</v>
      </c>
      <c r="K67" s="57">
        <f t="shared" si="43"/>
        <v>0</v>
      </c>
      <c r="L67" s="57">
        <f t="shared" si="43"/>
        <v>0</v>
      </c>
      <c r="M67" s="57">
        <f t="shared" si="43"/>
        <v>0</v>
      </c>
      <c r="N67" s="57">
        <f t="shared" si="43"/>
        <v>121300</v>
      </c>
      <c r="O67" s="57">
        <f t="shared" si="43"/>
        <v>97040</v>
      </c>
      <c r="P67" s="57">
        <f t="shared" si="43"/>
        <v>72780</v>
      </c>
      <c r="Q67" s="57">
        <f t="shared" si="43"/>
        <v>48520</v>
      </c>
      <c r="R67" s="57">
        <f t="shared" si="43"/>
        <v>24260</v>
      </c>
      <c r="S67" s="83">
        <f t="shared" si="43"/>
        <v>0</v>
      </c>
      <c r="T67" s="84"/>
    </row>
    <row r="68" spans="1:20" s="39" customFormat="1" ht="15.75" customHeight="1">
      <c r="A68" s="82" t="s">
        <v>29</v>
      </c>
      <c r="B68" s="74"/>
      <c r="C68" s="75"/>
      <c r="D68" s="75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7"/>
    </row>
    <row r="69" spans="1:20" ht="30.75" customHeight="1">
      <c r="A69" s="115" t="s">
        <v>71</v>
      </c>
      <c r="B69" s="112" t="s">
        <v>7</v>
      </c>
      <c r="C69" s="102"/>
      <c r="D69" s="102"/>
      <c r="E69" s="102"/>
      <c r="F69" s="102"/>
      <c r="G69" s="102"/>
      <c r="H69" s="102"/>
      <c r="I69" s="102"/>
      <c r="J69" s="102">
        <v>90000</v>
      </c>
      <c r="K69" s="102">
        <v>20119</v>
      </c>
      <c r="L69" s="102"/>
      <c r="M69" s="102"/>
      <c r="N69" s="102"/>
      <c r="O69" s="102"/>
      <c r="P69" s="102"/>
      <c r="Q69" s="102"/>
      <c r="R69" s="102"/>
      <c r="S69" s="102"/>
      <c r="T69" s="103">
        <f t="shared" ref="T69" si="44">SUM(E69:S69)</f>
        <v>110119</v>
      </c>
    </row>
    <row r="70" spans="1:20" ht="42" customHeight="1">
      <c r="A70" s="115" t="s">
        <v>72</v>
      </c>
      <c r="B70" s="112" t="s">
        <v>7</v>
      </c>
      <c r="C70" s="102"/>
      <c r="D70" s="102"/>
      <c r="E70" s="102"/>
      <c r="F70" s="102"/>
      <c r="G70" s="102">
        <v>30515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3">
        <f>SUM(E70:S70)</f>
        <v>30515</v>
      </c>
    </row>
    <row r="71" spans="1:20" ht="30" customHeight="1">
      <c r="A71" s="115" t="s">
        <v>73</v>
      </c>
      <c r="B71" s="112" t="s">
        <v>7</v>
      </c>
      <c r="C71" s="102"/>
      <c r="D71" s="102"/>
      <c r="E71" s="102">
        <v>8295</v>
      </c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3">
        <f t="shared" ref="T71:T78" si="45">SUM(E71:S71)</f>
        <v>8295</v>
      </c>
    </row>
    <row r="72" spans="1:20" ht="27" customHeight="1">
      <c r="A72" s="115" t="s">
        <v>74</v>
      </c>
      <c r="B72" s="112" t="s">
        <v>7</v>
      </c>
      <c r="C72" s="102"/>
      <c r="D72" s="102"/>
      <c r="E72" s="102"/>
      <c r="F72" s="102"/>
      <c r="G72" s="102"/>
      <c r="H72" s="102"/>
      <c r="I72" s="102"/>
      <c r="J72" s="102"/>
      <c r="K72" s="102">
        <v>27779</v>
      </c>
      <c r="L72" s="102"/>
      <c r="M72" s="102"/>
      <c r="N72" s="102"/>
      <c r="O72" s="102"/>
      <c r="P72" s="102"/>
      <c r="Q72" s="102"/>
      <c r="R72" s="102"/>
      <c r="S72" s="102"/>
      <c r="T72" s="103">
        <f t="shared" si="45"/>
        <v>27779</v>
      </c>
    </row>
    <row r="73" spans="1:20" ht="26.25" customHeight="1">
      <c r="A73" s="115" t="s">
        <v>75</v>
      </c>
      <c r="B73" s="112" t="s">
        <v>7</v>
      </c>
      <c r="C73" s="102"/>
      <c r="D73" s="102"/>
      <c r="E73" s="102"/>
      <c r="F73" s="102">
        <v>8176</v>
      </c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3">
        <f t="shared" si="45"/>
        <v>8176</v>
      </c>
    </row>
    <row r="74" spans="1:20" ht="30" customHeight="1">
      <c r="A74" s="115" t="s">
        <v>76</v>
      </c>
      <c r="B74" s="112" t="s">
        <v>7</v>
      </c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>
        <v>10000</v>
      </c>
      <c r="P74" s="102">
        <v>19000</v>
      </c>
      <c r="Q74" s="102">
        <v>23000</v>
      </c>
      <c r="R74" s="102">
        <v>9900</v>
      </c>
      <c r="S74" s="102">
        <v>14800</v>
      </c>
      <c r="T74" s="104">
        <f t="shared" si="45"/>
        <v>76700</v>
      </c>
    </row>
    <row r="75" spans="1:20" ht="28.5" customHeight="1">
      <c r="A75" s="115" t="s">
        <v>77</v>
      </c>
      <c r="B75" s="112" t="s">
        <v>7</v>
      </c>
      <c r="C75" s="102"/>
      <c r="D75" s="102"/>
      <c r="E75" s="102"/>
      <c r="F75" s="102"/>
      <c r="G75" s="102"/>
      <c r="H75" s="102">
        <v>14685</v>
      </c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3">
        <f t="shared" si="45"/>
        <v>14685</v>
      </c>
    </row>
    <row r="76" spans="1:20" ht="46.5" customHeight="1">
      <c r="A76" s="115" t="s">
        <v>78</v>
      </c>
      <c r="B76" s="112" t="s">
        <v>7</v>
      </c>
      <c r="C76" s="102"/>
      <c r="D76" s="102"/>
      <c r="E76" s="102"/>
      <c r="F76" s="102">
        <v>30668</v>
      </c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3">
        <f t="shared" si="45"/>
        <v>30668</v>
      </c>
    </row>
    <row r="77" spans="1:20" ht="26.25" customHeight="1">
      <c r="A77" s="115" t="s">
        <v>79</v>
      </c>
      <c r="B77" s="112" t="s">
        <v>7</v>
      </c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>
        <v>82232</v>
      </c>
      <c r="N77" s="102">
        <v>173870</v>
      </c>
      <c r="O77" s="102"/>
      <c r="P77" s="102"/>
      <c r="Q77" s="102"/>
      <c r="R77" s="102"/>
      <c r="S77" s="102"/>
      <c r="T77" s="103">
        <f t="shared" si="45"/>
        <v>256102</v>
      </c>
    </row>
    <row r="78" spans="1:20" ht="27" customHeight="1">
      <c r="A78" s="115" t="s">
        <v>80</v>
      </c>
      <c r="B78" s="112" t="s">
        <v>7</v>
      </c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>
        <v>17768</v>
      </c>
      <c r="N78" s="102"/>
      <c r="O78" s="102"/>
      <c r="P78" s="102"/>
      <c r="Q78" s="102"/>
      <c r="R78" s="102"/>
      <c r="S78" s="102"/>
      <c r="T78" s="103">
        <f t="shared" si="45"/>
        <v>17768</v>
      </c>
    </row>
    <row r="79" spans="1:20" s="39" customFormat="1" ht="17.25" customHeight="1">
      <c r="A79" s="82" t="s">
        <v>30</v>
      </c>
      <c r="B79" s="74" t="s">
        <v>7</v>
      </c>
      <c r="C79" s="91">
        <f t="shared" ref="C79:T79" si="46">SUM(C69:C78)</f>
        <v>0</v>
      </c>
      <c r="D79" s="91">
        <f t="shared" si="46"/>
        <v>0</v>
      </c>
      <c r="E79" s="91">
        <f t="shared" si="46"/>
        <v>8295</v>
      </c>
      <c r="F79" s="91">
        <f t="shared" si="46"/>
        <v>38844</v>
      </c>
      <c r="G79" s="91">
        <f t="shared" si="46"/>
        <v>30515</v>
      </c>
      <c r="H79" s="91">
        <f t="shared" si="46"/>
        <v>14685</v>
      </c>
      <c r="I79" s="91">
        <f t="shared" si="46"/>
        <v>0</v>
      </c>
      <c r="J79" s="91">
        <f t="shared" si="46"/>
        <v>90000</v>
      </c>
      <c r="K79" s="91">
        <f t="shared" si="46"/>
        <v>47898</v>
      </c>
      <c r="L79" s="91">
        <f t="shared" si="46"/>
        <v>0</v>
      </c>
      <c r="M79" s="91">
        <f t="shared" si="46"/>
        <v>100000</v>
      </c>
      <c r="N79" s="91">
        <f t="shared" si="46"/>
        <v>173870</v>
      </c>
      <c r="O79" s="91">
        <f t="shared" si="46"/>
        <v>10000</v>
      </c>
      <c r="P79" s="91">
        <f t="shared" si="46"/>
        <v>19000</v>
      </c>
      <c r="Q79" s="91">
        <f t="shared" si="46"/>
        <v>23000</v>
      </c>
      <c r="R79" s="91">
        <f t="shared" si="46"/>
        <v>9900</v>
      </c>
      <c r="S79" s="91">
        <f t="shared" si="46"/>
        <v>14800</v>
      </c>
      <c r="T79" s="92">
        <f t="shared" si="46"/>
        <v>580807</v>
      </c>
    </row>
    <row r="80" spans="1:20" s="39" customFormat="1" ht="18.75" customHeight="1" thickBot="1">
      <c r="A80" s="93" t="s">
        <v>31</v>
      </c>
      <c r="B80" s="116" t="s">
        <v>7</v>
      </c>
      <c r="C80" s="95"/>
      <c r="D80" s="95"/>
      <c r="E80" s="96">
        <f>D80+E56+E58+E63+E64-E65-E66-E79</f>
        <v>17481.034400000004</v>
      </c>
      <c r="F80" s="96">
        <f t="shared" ref="F80:J80" si="47">E80+F56+F58+F63+F64-F65-F66-F79</f>
        <v>5657.7765544000067</v>
      </c>
      <c r="G80" s="96">
        <f t="shared" si="47"/>
        <v>3394.7543322112106</v>
      </c>
      <c r="H80" s="96">
        <f t="shared" si="47"/>
        <v>18171.421110023912</v>
      </c>
      <c r="I80" s="96">
        <f t="shared" si="47"/>
        <v>48812.937892504749</v>
      </c>
      <c r="J80" s="96">
        <f t="shared" si="47"/>
        <v>5548.9248608079652</v>
      </c>
      <c r="K80" s="96">
        <f>J80+K56+K58+K63+K64-K65-K66-K79</f>
        <v>6110.8193339067075</v>
      </c>
      <c r="L80" s="96">
        <f t="shared" ref="L80:S80" si="48">K80+L56+L58+L63+L64-L65-L66-L79</f>
        <v>56265.950008037013</v>
      </c>
      <c r="M80" s="96">
        <f t="shared" si="48"/>
        <v>8128.5602557618695</v>
      </c>
      <c r="N80" s="96">
        <f t="shared" si="48"/>
        <v>27.419251909363084</v>
      </c>
      <c r="O80" s="96">
        <f t="shared" si="48"/>
        <v>2310.7870949297285</v>
      </c>
      <c r="P80" s="96">
        <f t="shared" si="48"/>
        <v>1590.2552410837234</v>
      </c>
      <c r="Q80" s="96">
        <f t="shared" si="48"/>
        <v>506.44426347619446</v>
      </c>
      <c r="R80" s="96">
        <f t="shared" si="48"/>
        <v>61.912123855654499</v>
      </c>
      <c r="S80" s="96">
        <f t="shared" si="48"/>
        <v>-5.1567424816312268E-4</v>
      </c>
      <c r="T80" s="97"/>
    </row>
  </sheetData>
  <mergeCells count="42">
    <mergeCell ref="S42:S43"/>
    <mergeCell ref="N4:N5"/>
    <mergeCell ref="O4:O5"/>
    <mergeCell ref="T42:T43"/>
    <mergeCell ref="M42:M43"/>
    <mergeCell ref="N42:N43"/>
    <mergeCell ref="O42:O43"/>
    <mergeCell ref="P42:P43"/>
    <mergeCell ref="Q42:Q43"/>
    <mergeCell ref="R42:R43"/>
    <mergeCell ref="R4:R5"/>
    <mergeCell ref="M4:M5"/>
    <mergeCell ref="P4:P5"/>
    <mergeCell ref="Q4:Q5"/>
    <mergeCell ref="L42:L43"/>
    <mergeCell ref="A42:A43"/>
    <mergeCell ref="B42:B43"/>
    <mergeCell ref="C42:C43"/>
    <mergeCell ref="D42:D43"/>
    <mergeCell ref="E42:E43"/>
    <mergeCell ref="F42:F43"/>
    <mergeCell ref="G42:G43"/>
    <mergeCell ref="H42:H43"/>
    <mergeCell ref="I42:I43"/>
    <mergeCell ref="J42:J43"/>
    <mergeCell ref="K42:K43"/>
    <mergeCell ref="Q1:T1"/>
    <mergeCell ref="A2:S2"/>
    <mergeCell ref="A4:A5"/>
    <mergeCell ref="B4:B5"/>
    <mergeCell ref="C4:C5"/>
    <mergeCell ref="D4:D5"/>
    <mergeCell ref="E4:E5"/>
    <mergeCell ref="F4:F5"/>
    <mergeCell ref="G4:G5"/>
    <mergeCell ref="H4:H5"/>
    <mergeCell ref="T4:T5"/>
    <mergeCell ref="I4:I5"/>
    <mergeCell ref="J4:J5"/>
    <mergeCell ref="S4:S5"/>
    <mergeCell ref="K4:K5"/>
    <mergeCell ref="L4:L5"/>
  </mergeCells>
  <pageMargins left="0.31496062992125984" right="0.31496062992125984" top="0.74803149606299213" bottom="0.74803149606299213" header="0.31496062992125984" footer="0.31496062992125984"/>
  <pageSetup paperSize="9" scale="55" firstPageNumber="73" fitToHeight="3" orientation="landscape" useFirstPageNumber="1" r:id="rId1"/>
  <headerFooter>
    <oddFooter>&amp;CИнвестиционная программа ОАО "Миассводоканал" «Развитие и модернизация централизованных 
 систем холодного водоснабжения и водоотведения  Миассского городского округа  на 2016 – 2030 годы &amp;RСтр.&amp;P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исходя из роста 20%</vt:lpstr>
      <vt:lpstr>в соответствии с законом</vt:lpstr>
      <vt:lpstr>Расчёт тарифов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</dc:creator>
  <cp:lastModifiedBy>Julia</cp:lastModifiedBy>
  <cp:lastPrinted>2015-05-15T04:14:05Z</cp:lastPrinted>
  <dcterms:created xsi:type="dcterms:W3CDTF">2014-05-27T08:46:58Z</dcterms:created>
  <dcterms:modified xsi:type="dcterms:W3CDTF">2015-06-09T04:33:20Z</dcterms:modified>
</cp:coreProperties>
</file>